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cdc.gov\adp\FCID_DVRD_2_FLU\Extramural Activities Group\Training\Data Management Training\Advanced Data Course November 2016\Training materials\"/>
    </mc:Choice>
  </mc:AlternateContent>
  <bookViews>
    <workbookView xWindow="240" yWindow="72" windowWidth="19440" windowHeight="7992" tabRatio="905" activeTab="1"/>
  </bookViews>
  <sheets>
    <sheet name="Odds ratio sheet" sheetId="8" r:id="rId1"/>
    <sheet name="Risk Ratios sheet" sheetId="19" r:id="rId2"/>
    <sheet name="Rates" sheetId="20" r:id="rId3"/>
    <sheet name="Rate info sheet" sheetId="9" state="hidden" r:id="rId4"/>
  </sheets>
  <externalReferences>
    <externalReference r:id="rId5"/>
  </externalReferences>
  <definedNames>
    <definedName name="A">#REF!</definedName>
    <definedName name="B">#REF!</definedName>
    <definedName name="F">#REF!</definedName>
    <definedName name="Gender">#REF!</definedName>
    <definedName name="M">#REF!</definedName>
    <definedName name="Manitoba">#REF!</definedName>
    <definedName name="Nova_Scotia">#REF!</definedName>
    <definedName name="Ontario">#REF!</definedName>
    <definedName name="Province">#REF!</definedName>
    <definedName name="Quebec">#REF!</definedName>
    <definedName name="Type">#REF!</definedName>
  </definedNames>
  <calcPr calcId="152511"/>
</workbook>
</file>

<file path=xl/calcChain.xml><?xml version="1.0" encoding="utf-8"?>
<calcChain xmlns="http://schemas.openxmlformats.org/spreadsheetml/2006/main">
  <c r="G7" i="20" l="1"/>
  <c r="F7" i="20"/>
  <c r="D7" i="20"/>
  <c r="E7" i="20" s="1"/>
  <c r="H6" i="20"/>
  <c r="G6" i="20"/>
  <c r="E6" i="20"/>
  <c r="G5" i="20"/>
  <c r="H5" i="20" s="1"/>
  <c r="E5" i="20"/>
  <c r="G4" i="20"/>
  <c r="H4" i="20" s="1"/>
  <c r="E4" i="20"/>
  <c r="G3" i="20"/>
  <c r="H3" i="20" s="1"/>
  <c r="E3" i="20"/>
  <c r="H2" i="20"/>
  <c r="H8" i="20" s="1"/>
  <c r="H7" i="20" s="1"/>
  <c r="G2" i="20"/>
  <c r="E2" i="20"/>
  <c r="C6" i="19" l="1"/>
  <c r="C5" i="19"/>
  <c r="D3" i="19"/>
  <c r="D2" i="19"/>
  <c r="C7" i="19" s="1"/>
  <c r="C8" i="19" s="1"/>
  <c r="C8" i="8"/>
  <c r="C7" i="8"/>
  <c r="C5" i="8"/>
  <c r="C6" i="8" s="1"/>
  <c r="C9" i="19" l="1"/>
  <c r="C12" i="19" s="1"/>
  <c r="C10" i="19"/>
  <c r="C11" i="19" s="1"/>
  <c r="C10" i="8"/>
  <c r="C11" i="8" s="1"/>
  <c r="C9" i="8"/>
  <c r="C12" i="8" s="1"/>
  <c r="I9" i="9" l="1"/>
  <c r="H9" i="9"/>
  <c r="J8" i="9"/>
  <c r="I8" i="9"/>
  <c r="H8" i="9"/>
  <c r="J7" i="9"/>
  <c r="I7" i="9"/>
  <c r="K7" i="9" s="1"/>
  <c r="H7" i="9"/>
  <c r="J6" i="9"/>
  <c r="I6" i="9"/>
  <c r="K6" i="9" s="1"/>
  <c r="H6" i="9"/>
  <c r="I5" i="9"/>
  <c r="H5" i="9"/>
  <c r="H4" i="9"/>
  <c r="G4" i="9"/>
  <c r="I4" i="9" s="1"/>
  <c r="K5" i="9" l="1"/>
  <c r="J5" i="9"/>
  <c r="K8" i="9"/>
  <c r="J9" i="9"/>
  <c r="K9" i="9" s="1"/>
  <c r="K10" i="9" l="1"/>
</calcChain>
</file>

<file path=xl/sharedStrings.xml><?xml version="1.0" encoding="utf-8"?>
<sst xmlns="http://schemas.openxmlformats.org/spreadsheetml/2006/main" count="89" uniqueCount="58">
  <si>
    <t>YEAR</t>
  </si>
  <si>
    <t>Total</t>
  </si>
  <si>
    <t>OR=</t>
  </si>
  <si>
    <t>(a/c)/(b/d)</t>
  </si>
  <si>
    <t>ln(OR)</t>
  </si>
  <si>
    <t>variance=</t>
  </si>
  <si>
    <t>SE=</t>
  </si>
  <si>
    <t>AGE_GRP</t>
  </si>
  <si>
    <t>cases -MALE</t>
  </si>
  <si>
    <t>cases - FEMALE</t>
  </si>
  <si>
    <t>cases - TOTAL</t>
  </si>
  <si>
    <t>total
population</t>
  </si>
  <si>
    <t>incidence rate</t>
  </si>
  <si>
    <t>rate</t>
  </si>
  <si>
    <t>proportion of
total population</t>
  </si>
  <si>
    <t>rates by age group/proportion
 of rate</t>
  </si>
  <si>
    <t>total popn</t>
  </si>
  <si>
    <t>crude rate</t>
  </si>
  <si>
    <t>0&lt;5</t>
  </si>
  <si>
    <t>age specific rate</t>
  </si>
  <si>
    <t>5&lt;24</t>
  </si>
  <si>
    <t>25-64</t>
  </si>
  <si>
    <t>75-84</t>
  </si>
  <si>
    <t>85+</t>
  </si>
  <si>
    <t>age adjusted rate</t>
  </si>
  <si>
    <r>
      <t xml:space="preserve">A note on rates: rates are calculated for a specific period of time (person-years, generally) and are calculated based on the population </t>
    </r>
    <r>
      <rPr>
        <i/>
        <sz val="11"/>
        <color indexed="8"/>
        <rFont val="Calibri"/>
        <family val="2"/>
      </rPr>
      <t>for that period of time.</t>
    </r>
    <r>
      <rPr>
        <sz val="11"/>
        <color theme="1"/>
        <rFont val="Calibri"/>
        <family val="2"/>
        <scheme val="minor"/>
      </rPr>
      <t xml:space="preserve"> Annual rates can be used where annual population (e.g. census mid-year estimates) and a count of the outcome of interest  are known. A crude rate is the rate calculated for the entire population, with no adjustment for which age group accounts for what proportion of the population. An age-adjusted rate normalizes the rate by the number of cases per population in each age group.</t>
    </r>
  </si>
  <si>
    <t>Diseased(a)</t>
  </si>
  <si>
    <t>Non-Diseased(b)</t>
  </si>
  <si>
    <t>Exposed©</t>
  </si>
  <si>
    <t>Unexposed(d)</t>
  </si>
  <si>
    <t>KEY</t>
  </si>
  <si>
    <t>Diseased</t>
  </si>
  <si>
    <t>Non-Diseased</t>
  </si>
  <si>
    <t>Exposed</t>
  </si>
  <si>
    <t>a</t>
  </si>
  <si>
    <t>b</t>
  </si>
  <si>
    <t>(1/a)+(1/b)+(1/c)+(1/d)</t>
  </si>
  <si>
    <t>Unexposed</t>
  </si>
  <si>
    <t>c</t>
  </si>
  <si>
    <t>d</t>
  </si>
  <si>
    <r>
      <rPr>
        <sz val="11"/>
        <color theme="1"/>
        <rFont val="Symbol"/>
        <family val="1"/>
        <charset val="2"/>
      </rPr>
      <t>Ö</t>
    </r>
    <r>
      <rPr>
        <sz val="11"/>
        <color theme="1"/>
        <rFont val="Calibri"/>
        <family val="2"/>
      </rPr>
      <t>variance</t>
    </r>
  </si>
  <si>
    <t>ln (Upper 95% CI) =</t>
  </si>
  <si>
    <t>ln OR +1.96*SE</t>
  </si>
  <si>
    <t>ln (Lower 95% CI) =</t>
  </si>
  <si>
    <t>ln OR -1.96*SE</t>
  </si>
  <si>
    <t xml:space="preserve">Lower 95% OR CI = </t>
  </si>
  <si>
    <t xml:space="preserve">Upper 95% OR CI = </t>
  </si>
  <si>
    <t>RR=</t>
  </si>
  <si>
    <t>[a/(a+b)] / [c/(c+d)]</t>
  </si>
  <si>
    <t>ln(RR)</t>
  </si>
  <si>
    <t>(1/a)+(1/c)-[1/(a+b)]-[(1/(c+d)]</t>
  </si>
  <si>
    <t>ln RR +1.96*SE</t>
  </si>
  <si>
    <t>ln RR -1.96*SE</t>
  </si>
  <si>
    <t>Population under surveillance/study population</t>
  </si>
  <si>
    <t>crude rate (per 100,000)</t>
  </si>
  <si>
    <t>Standard population (e.g. census population)</t>
  </si>
  <si>
    <t>age distribution (weight)</t>
  </si>
  <si>
    <t>Adjusted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</si>
</sst>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1"/>
      <color indexed="8"/>
      <name val="Calibri"/>
      <family val="2"/>
    </font>
    <font>
      <sz val="11"/>
      <color theme="1"/>
      <name val="Symbol"/>
      <family val="1"/>
      <charset val="2"/>
    </font>
    <font>
      <sz val="10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10" xfId="0" applyBorder="1"/>
    <xf numFmtId="2" fontId="0" fillId="0" borderId="0" xfId="0" applyNumberFormat="1"/>
    <xf numFmtId="0" fontId="18" fillId="0" borderId="0" xfId="0" applyFont="1"/>
    <xf numFmtId="0" fontId="0" fillId="33" borderId="0" xfId="0" applyFill="1"/>
    <xf numFmtId="0" fontId="16" fillId="33" borderId="10" xfId="0" applyFont="1" applyFill="1" applyBorder="1"/>
    <xf numFmtId="0" fontId="0" fillId="34" borderId="0" xfId="0" applyFill="1"/>
    <xf numFmtId="0" fontId="0" fillId="0" borderId="0" xfId="0" applyAlignment="1">
      <alignment horizontal="center"/>
    </xf>
    <xf numFmtId="0" fontId="0" fillId="0" borderId="0" xfId="0" applyFont="1"/>
    <xf numFmtId="0" fontId="0" fillId="0" borderId="10" xfId="0" applyBorder="1" applyProtection="1">
      <protection locked="0"/>
    </xf>
    <xf numFmtId="0" fontId="0" fillId="36" borderId="0" xfId="0" applyFill="1" applyAlignment="1">
      <alignment horizontal="center"/>
    </xf>
    <xf numFmtId="2" fontId="16" fillId="37" borderId="11" xfId="0" applyNumberFormat="1" applyFont="1" applyFill="1" applyBorder="1"/>
    <xf numFmtId="0" fontId="0" fillId="36" borderId="10" xfId="0" applyFill="1" applyBorder="1" applyAlignment="1">
      <alignment horizontal="center"/>
    </xf>
    <xf numFmtId="2" fontId="0" fillId="0" borderId="0" xfId="0" applyNumberFormat="1" applyFont="1" applyFill="1" applyBorder="1"/>
    <xf numFmtId="0" fontId="0" fillId="36" borderId="0" xfId="0" applyFill="1"/>
    <xf numFmtId="0" fontId="16" fillId="0" borderId="0" xfId="0" applyFont="1" applyProtection="1"/>
    <xf numFmtId="0" fontId="0" fillId="0" borderId="0" xfId="0" applyProtection="1"/>
    <xf numFmtId="2" fontId="16" fillId="37" borderId="11" xfId="0" applyNumberFormat="1" applyFont="1" applyFill="1" applyBorder="1" applyProtection="1"/>
    <xf numFmtId="2" fontId="0" fillId="0" borderId="0" xfId="0" applyNumberFormat="1" applyProtection="1"/>
    <xf numFmtId="0" fontId="18" fillId="0" borderId="0" xfId="0" applyFont="1" applyProtection="1"/>
    <xf numFmtId="0" fontId="0" fillId="0" borderId="0" xfId="0" applyFont="1" applyProtection="1"/>
    <xf numFmtId="2" fontId="0" fillId="0" borderId="0" xfId="0" applyNumberFormat="1" applyFont="1" applyFill="1" applyBorder="1" applyProtection="1"/>
    <xf numFmtId="0" fontId="0" fillId="33" borderId="10" xfId="0" applyFill="1" applyBorder="1"/>
    <xf numFmtId="0" fontId="0" fillId="34" borderId="10" xfId="0" applyFill="1" applyBorder="1"/>
    <xf numFmtId="49" fontId="0" fillId="34" borderId="10" xfId="0" applyNumberFormat="1" applyFill="1" applyBorder="1"/>
    <xf numFmtId="0" fontId="0" fillId="35" borderId="10" xfId="0" applyFill="1" applyBorder="1"/>
    <xf numFmtId="0" fontId="19" fillId="34" borderId="10" xfId="0" applyFont="1" applyFill="1" applyBorder="1" applyAlignment="1">
      <alignment horizontal="center" vertical="center" textRotation="90" wrapText="1"/>
    </xf>
    <xf numFmtId="0" fontId="0" fillId="0" borderId="0" xfId="0" applyAlignment="1">
      <alignment wrapText="1"/>
    </xf>
    <xf numFmtId="0" fontId="22" fillId="0" borderId="0" xfId="0" applyFont="1"/>
    <xf numFmtId="0" fontId="22" fillId="0" borderId="0" xfId="0" applyFont="1" applyAlignment="1">
      <alignment wrapText="1"/>
    </xf>
    <xf numFmtId="49" fontId="0" fillId="34" borderId="0" xfId="0" applyNumberFormat="1" applyFill="1"/>
    <xf numFmtId="0" fontId="19" fillId="33" borderId="0" xfId="0" applyFont="1" applyFill="1" applyBorder="1" applyAlignment="1">
      <alignment horizontal="center" vertical="center" textRotation="90" wrapText="1"/>
    </xf>
    <xf numFmtId="0" fontId="0" fillId="38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Rates!$H$1</c:f>
              <c:strCache>
                <c:ptCount val="1"/>
                <c:pt idx="0">
                  <c:v>Adjusted Rate</c:v>
                </c:pt>
              </c:strCache>
            </c:strRef>
          </c:tx>
          <c:invertIfNegative val="0"/>
          <c:cat>
            <c:strRef>
              <c:f>Rates!$B$2:$B$6</c:f>
              <c:strCache>
                <c:ptCount val="5"/>
                <c:pt idx="0">
                  <c:v>0&lt;5</c:v>
                </c:pt>
                <c:pt idx="1">
                  <c:v>5&lt;24</c:v>
                </c:pt>
                <c:pt idx="2">
                  <c:v>25-64</c:v>
                </c:pt>
                <c:pt idx="3">
                  <c:v>75-84</c:v>
                </c:pt>
                <c:pt idx="4">
                  <c:v>85+</c:v>
                </c:pt>
              </c:strCache>
            </c:strRef>
          </c:cat>
          <c:val>
            <c:numRef>
              <c:f>Rates!$H$2:$H$6</c:f>
              <c:numCache>
                <c:formatCode>General</c:formatCode>
                <c:ptCount val="5"/>
                <c:pt idx="0">
                  <c:v>3496.5517241379312</c:v>
                </c:pt>
                <c:pt idx="1">
                  <c:v>192.877706338005</c:v>
                </c:pt>
                <c:pt idx="2">
                  <c:v>1319.7105151128137</c:v>
                </c:pt>
                <c:pt idx="3">
                  <c:v>449.70973901799255</c:v>
                </c:pt>
                <c:pt idx="4">
                  <c:v>840.51724137931035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066832"/>
        <c:axId val="116067224"/>
      </c:barChart>
      <c:catAx>
        <c:axId val="116066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6067224"/>
        <c:crosses val="autoZero"/>
        <c:auto val="1"/>
        <c:lblAlgn val="ctr"/>
        <c:lblOffset val="100"/>
        <c:noMultiLvlLbl val="0"/>
      </c:catAx>
      <c:valAx>
        <c:axId val="116067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60668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359019</xdr:colOff>
      <xdr:row>8</xdr:row>
      <xdr:rowOff>65942</xdr:rowOff>
    </xdr:from>
    <xdr:to>
      <xdr:col>8</xdr:col>
      <xdr:colOff>366346</xdr:colOff>
      <xdr:row>22</xdr:row>
      <xdr:rowOff>139212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CID_DVRD_2_FLU/Extramural%20Activities%20Group/Training/Data%20Management%20Training/Advanced%20Data%20Course%20November%202016/Previous%20Trainings/Taining%20Materials/AIDS/Rate%20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H1" t="str">
            <v>Adjusted Rate</v>
          </cell>
        </row>
        <row r="2">
          <cell r="B2" t="str">
            <v>0&lt;5</v>
          </cell>
          <cell r="H2">
            <v>3496.5517241379312</v>
          </cell>
        </row>
        <row r="3">
          <cell r="B3" t="str">
            <v>5&lt;24</v>
          </cell>
          <cell r="H3">
            <v>192.877706338005</v>
          </cell>
        </row>
        <row r="4">
          <cell r="B4" t="str">
            <v>25-64</v>
          </cell>
          <cell r="H4">
            <v>1319.7105151128137</v>
          </cell>
        </row>
        <row r="5">
          <cell r="B5" t="str">
            <v>75-84</v>
          </cell>
          <cell r="H5">
            <v>449.70973901799255</v>
          </cell>
        </row>
        <row r="6">
          <cell r="B6" t="str">
            <v>85+</v>
          </cell>
          <cell r="H6">
            <v>840.51724137931035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2" sqref="B2"/>
    </sheetView>
  </sheetViews>
  <sheetFormatPr defaultRowHeight="14.4" x14ac:dyDescent="0.3"/>
  <cols>
    <col min="1" max="1" width="18.6640625" customWidth="1"/>
    <col min="2" max="3" width="20.6640625" customWidth="1"/>
    <col min="4" max="4" width="9.5546875" bestFit="1" customWidth="1"/>
    <col min="5" max="5" width="9.5546875" customWidth="1"/>
    <col min="6" max="8" width="15.6640625" style="9" customWidth="1"/>
  </cols>
  <sheetData>
    <row r="1" spans="1:8" x14ac:dyDescent="0.3">
      <c r="A1" s="3"/>
      <c r="B1" s="3" t="s">
        <v>26</v>
      </c>
      <c r="C1" s="3" t="s">
        <v>27</v>
      </c>
    </row>
    <row r="2" spans="1:8" x14ac:dyDescent="0.3">
      <c r="A2" s="3" t="s">
        <v>28</v>
      </c>
      <c r="B2" s="11">
        <v>50</v>
      </c>
      <c r="C2" s="11">
        <v>40</v>
      </c>
    </row>
    <row r="3" spans="1:8" x14ac:dyDescent="0.3">
      <c r="A3" s="3" t="s">
        <v>29</v>
      </c>
      <c r="B3" s="11">
        <v>20</v>
      </c>
      <c r="C3" s="11">
        <v>30</v>
      </c>
    </row>
    <row r="4" spans="1:8" ht="15" thickBot="1" x14ac:dyDescent="0.35">
      <c r="F4" s="12" t="s">
        <v>30</v>
      </c>
      <c r="G4" s="12"/>
      <c r="H4" s="12"/>
    </row>
    <row r="5" spans="1:8" ht="15" thickBot="1" x14ac:dyDescent="0.35">
      <c r="A5" s="2" t="s">
        <v>2</v>
      </c>
      <c r="B5" t="s">
        <v>3</v>
      </c>
      <c r="C5" s="13">
        <f>(B2/B3)/(C2/C3)</f>
        <v>1.875</v>
      </c>
      <c r="F5" s="14"/>
      <c r="G5" s="14" t="s">
        <v>31</v>
      </c>
      <c r="H5" s="14" t="s">
        <v>32</v>
      </c>
    </row>
    <row r="6" spans="1:8" x14ac:dyDescent="0.3">
      <c r="A6" t="s">
        <v>4</v>
      </c>
      <c r="C6" s="4">
        <f>LN(C5)</f>
        <v>0.62860865942237409</v>
      </c>
      <c r="F6" s="14" t="s">
        <v>33</v>
      </c>
      <c r="G6" s="14" t="s">
        <v>34</v>
      </c>
      <c r="H6" s="14" t="s">
        <v>35</v>
      </c>
    </row>
    <row r="7" spans="1:8" x14ac:dyDescent="0.3">
      <c r="A7" t="s">
        <v>5</v>
      </c>
      <c r="B7" t="s">
        <v>36</v>
      </c>
      <c r="C7" s="4">
        <f>1/B2+1/C2+1/B3+1/C3</f>
        <v>0.12833333333333333</v>
      </c>
      <c r="F7" s="14" t="s">
        <v>37</v>
      </c>
      <c r="G7" s="14" t="s">
        <v>38</v>
      </c>
      <c r="H7" s="14" t="s">
        <v>39</v>
      </c>
    </row>
    <row r="8" spans="1:8" x14ac:dyDescent="0.3">
      <c r="A8" t="s">
        <v>6</v>
      </c>
      <c r="B8" s="5" t="s">
        <v>40</v>
      </c>
      <c r="C8" s="4">
        <f>SQRT(C7)</f>
        <v>0.3582364210034113</v>
      </c>
    </row>
    <row r="9" spans="1:8" x14ac:dyDescent="0.3">
      <c r="A9" s="10" t="s">
        <v>41</v>
      </c>
      <c r="B9" t="s">
        <v>42</v>
      </c>
      <c r="C9" s="15">
        <f>C6+(1.96*C8)</f>
        <v>1.3307520445890604</v>
      </c>
    </row>
    <row r="10" spans="1:8" ht="28.5" customHeight="1" thickBot="1" x14ac:dyDescent="0.35">
      <c r="A10" s="10" t="s">
        <v>43</v>
      </c>
      <c r="B10" t="s">
        <v>44</v>
      </c>
      <c r="C10" s="15">
        <f>C6-(1.96*C8)</f>
        <v>-7.3534725744312079E-2</v>
      </c>
    </row>
    <row r="11" spans="1:8" ht="15" thickBot="1" x14ac:dyDescent="0.35">
      <c r="A11" s="2" t="s">
        <v>45</v>
      </c>
      <c r="C11" s="13">
        <f>EXP(C10)</f>
        <v>0.929103881407495</v>
      </c>
    </row>
    <row r="12" spans="1:8" ht="15" thickBot="1" x14ac:dyDescent="0.35">
      <c r="A12" s="2" t="s">
        <v>46</v>
      </c>
      <c r="C12" s="13">
        <f>EXP(C9)</f>
        <v>3.7838879702818553</v>
      </c>
    </row>
  </sheetData>
  <sheetProtection algorithmName="SHA-512" hashValue="nDM69pGeNiOnttth+X0FRQm+66zKIhy1iFcNxyI8ZD8Rm1lOwiiQFHapy6A2seOgAIMmaaMorfhgKi5ukiHMMw==" saltValue="gaqUt6w1eWTdL640X6IeOQ==" spinCount="100000" sheet="1" objects="1" scenarios="1" selectLockedCell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B2" sqref="B2"/>
    </sheetView>
  </sheetViews>
  <sheetFormatPr defaultRowHeight="14.4" x14ac:dyDescent="0.3"/>
  <cols>
    <col min="1" max="1" width="18.6640625" customWidth="1"/>
    <col min="2" max="2" width="28.6640625" bestFit="1" customWidth="1"/>
    <col min="3" max="3" width="28.6640625" customWidth="1"/>
    <col min="4" max="4" width="9.5546875" bestFit="1" customWidth="1"/>
    <col min="5" max="5" width="9.5546875" customWidth="1"/>
    <col min="6" max="6" width="15.6640625" customWidth="1"/>
    <col min="7" max="7" width="11.44140625" customWidth="1"/>
    <col min="8" max="8" width="13.6640625" customWidth="1"/>
  </cols>
  <sheetData>
    <row r="1" spans="1:8" x14ac:dyDescent="0.3">
      <c r="A1" s="3"/>
      <c r="B1" s="3" t="s">
        <v>31</v>
      </c>
      <c r="C1" s="3" t="s">
        <v>32</v>
      </c>
      <c r="D1" s="9" t="s">
        <v>1</v>
      </c>
    </row>
    <row r="2" spans="1:8" x14ac:dyDescent="0.3">
      <c r="A2" s="3" t="s">
        <v>33</v>
      </c>
      <c r="B2" s="11">
        <v>2</v>
      </c>
      <c r="C2" s="11">
        <v>41</v>
      </c>
      <c r="D2">
        <f>B2+C2</f>
        <v>43</v>
      </c>
    </row>
    <row r="3" spans="1:8" x14ac:dyDescent="0.3">
      <c r="A3" s="3" t="s">
        <v>37</v>
      </c>
      <c r="B3" s="11">
        <v>20</v>
      </c>
      <c r="C3" s="11">
        <v>29</v>
      </c>
      <c r="D3">
        <f>B3+C3</f>
        <v>49</v>
      </c>
    </row>
    <row r="4" spans="1:8" ht="15" thickBot="1" x14ac:dyDescent="0.35">
      <c r="F4" s="16" t="s">
        <v>30</v>
      </c>
      <c r="G4" s="16"/>
      <c r="H4" s="16"/>
    </row>
    <row r="5" spans="1:8" ht="15" thickBot="1" x14ac:dyDescent="0.35">
      <c r="A5" s="17" t="s">
        <v>47</v>
      </c>
      <c r="B5" s="18" t="s">
        <v>48</v>
      </c>
      <c r="C5" s="19">
        <f>(B2/(B2+C2)) / (B3/(B3+C3))</f>
        <v>0.11395348837209301</v>
      </c>
      <c r="F5" s="14"/>
      <c r="G5" s="14" t="s">
        <v>31</v>
      </c>
      <c r="H5" s="14" t="s">
        <v>32</v>
      </c>
    </row>
    <row r="6" spans="1:8" x14ac:dyDescent="0.3">
      <c r="A6" s="18" t="s">
        <v>49</v>
      </c>
      <c r="B6" s="18"/>
      <c r="C6" s="20">
        <f>LN(C5)</f>
        <v>-2.1719649105769814</v>
      </c>
      <c r="F6" s="14" t="s">
        <v>33</v>
      </c>
      <c r="G6" s="14" t="s">
        <v>34</v>
      </c>
      <c r="H6" s="14" t="s">
        <v>35</v>
      </c>
    </row>
    <row r="7" spans="1:8" x14ac:dyDescent="0.3">
      <c r="A7" s="18" t="s">
        <v>5</v>
      </c>
      <c r="B7" s="18" t="s">
        <v>50</v>
      </c>
      <c r="C7" s="20">
        <f>(1/B2)+(1/B3)-(1/D2)-(1/D3)</f>
        <v>0.50633602278120549</v>
      </c>
      <c r="F7" s="14" t="s">
        <v>37</v>
      </c>
      <c r="G7" s="14" t="s">
        <v>38</v>
      </c>
      <c r="H7" s="14" t="s">
        <v>39</v>
      </c>
    </row>
    <row r="8" spans="1:8" x14ac:dyDescent="0.3">
      <c r="A8" s="18" t="s">
        <v>6</v>
      </c>
      <c r="B8" s="21" t="s">
        <v>40</v>
      </c>
      <c r="C8" s="20">
        <f>SQRT(C7)</f>
        <v>0.71157292161886365</v>
      </c>
    </row>
    <row r="9" spans="1:8" x14ac:dyDescent="0.3">
      <c r="A9" s="22" t="s">
        <v>41</v>
      </c>
      <c r="B9" s="18" t="s">
        <v>51</v>
      </c>
      <c r="C9" s="23">
        <f>C6+(1.96*C8)</f>
        <v>-0.77728198420400862</v>
      </c>
    </row>
    <row r="10" spans="1:8" ht="15" thickBot="1" x14ac:dyDescent="0.35">
      <c r="A10" s="22" t="s">
        <v>43</v>
      </c>
      <c r="B10" s="18" t="s">
        <v>52</v>
      </c>
      <c r="C10" s="23">
        <f>C6-(1.96*C8)</f>
        <v>-3.5666478369499544</v>
      </c>
    </row>
    <row r="11" spans="1:8" ht="15" thickBot="1" x14ac:dyDescent="0.35">
      <c r="A11" s="17" t="s">
        <v>45</v>
      </c>
      <c r="B11" s="18"/>
      <c r="C11" s="19">
        <f>EXP(C10)</f>
        <v>2.8250395063184813E-2</v>
      </c>
    </row>
    <row r="12" spans="1:8" ht="15" thickBot="1" x14ac:dyDescent="0.35">
      <c r="A12" s="17" t="s">
        <v>46</v>
      </c>
      <c r="B12" s="18"/>
      <c r="C12" s="19">
        <f>EXP(C9)</f>
        <v>0.45965366088246234</v>
      </c>
    </row>
  </sheetData>
  <sheetProtection algorithmName="SHA-512" hashValue="WXpykKNJ/TNQ27aPuGHAbi2Bse34wujwAWWx3jfMpKjayYxMjLWFA/Kbtupl0vAJY2B2Dcn9mcI9p6rrkFnb9A==" saltValue="iRi7Yle0Xyugr0tiLs3/hw==" spinCount="100000" sheet="1" objects="1" scenarios="1"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activeCell="C3" sqref="C3"/>
    </sheetView>
  </sheetViews>
  <sheetFormatPr defaultRowHeight="14.4" x14ac:dyDescent="0.3"/>
  <cols>
    <col min="2" max="2" width="11.33203125" customWidth="1"/>
    <col min="3" max="3" width="13.109375" customWidth="1"/>
    <col min="4" max="4" width="11.109375" customWidth="1"/>
    <col min="5" max="6" width="14.6640625" customWidth="1"/>
    <col min="7" max="7" width="15.6640625" customWidth="1"/>
    <col min="8" max="8" width="13.6640625" customWidth="1"/>
    <col min="9" max="9" width="11.88671875" customWidth="1"/>
    <col min="10" max="10" width="9.109375" customWidth="1"/>
    <col min="11" max="11" width="17.5546875" customWidth="1"/>
    <col min="12" max="12" width="19.109375" customWidth="1"/>
  </cols>
  <sheetData>
    <row r="1" spans="1:9" ht="69" customHeight="1" x14ac:dyDescent="0.3">
      <c r="A1" s="30" t="s">
        <v>0</v>
      </c>
      <c r="B1" s="30" t="s">
        <v>7</v>
      </c>
      <c r="C1" s="30" t="s">
        <v>10</v>
      </c>
      <c r="D1" s="31" t="s">
        <v>53</v>
      </c>
      <c r="E1" s="31" t="s">
        <v>54</v>
      </c>
      <c r="F1" s="31" t="s">
        <v>55</v>
      </c>
      <c r="G1" s="31" t="s">
        <v>56</v>
      </c>
      <c r="H1" s="31" t="s">
        <v>57</v>
      </c>
      <c r="I1" s="30"/>
    </row>
    <row r="2" spans="1:9" s="8" customFormat="1" ht="15" customHeight="1" x14ac:dyDescent="0.3">
      <c r="A2" s="8">
        <v>1977</v>
      </c>
      <c r="B2" s="8" t="s">
        <v>18</v>
      </c>
      <c r="C2" s="8">
        <v>2574</v>
      </c>
      <c r="D2" s="8">
        <v>5500</v>
      </c>
      <c r="E2" s="8">
        <f t="shared" ref="E2:E6" si="0">C2/D2*100000</f>
        <v>46800</v>
      </c>
      <c r="F2" s="8">
        <v>26000</v>
      </c>
      <c r="G2" s="8">
        <f>F2/$F$7</f>
        <v>7.4712643678160925E-2</v>
      </c>
      <c r="H2" s="8">
        <f>G2*E2</f>
        <v>3496.5517241379312</v>
      </c>
      <c r="I2" s="28" t="s">
        <v>19</v>
      </c>
    </row>
    <row r="3" spans="1:9" s="8" customFormat="1" ht="13.5" customHeight="1" x14ac:dyDescent="0.3">
      <c r="A3" s="8">
        <v>1977</v>
      </c>
      <c r="B3" s="32" t="s">
        <v>20</v>
      </c>
      <c r="C3" s="8">
        <v>797</v>
      </c>
      <c r="D3" s="8">
        <v>89055</v>
      </c>
      <c r="E3" s="8">
        <f t="shared" si="0"/>
        <v>894.95255740834318</v>
      </c>
      <c r="F3" s="8">
        <v>75000</v>
      </c>
      <c r="G3" s="8">
        <f t="shared" ref="G3:G7" si="1">F3/$F$7</f>
        <v>0.21551724137931033</v>
      </c>
      <c r="H3" s="8">
        <f t="shared" ref="H3:H6" si="2">G3*E3</f>
        <v>192.877706338005</v>
      </c>
      <c r="I3" s="28"/>
    </row>
    <row r="4" spans="1:9" s="8" customFormat="1" x14ac:dyDescent="0.3">
      <c r="A4" s="8">
        <v>1977</v>
      </c>
      <c r="B4" s="8" t="s">
        <v>21</v>
      </c>
      <c r="C4" s="8">
        <v>124</v>
      </c>
      <c r="D4" s="8">
        <v>5400</v>
      </c>
      <c r="E4" s="8">
        <f t="shared" si="0"/>
        <v>2296.2962962962961</v>
      </c>
      <c r="F4" s="8">
        <v>200000</v>
      </c>
      <c r="G4" s="8">
        <f t="shared" si="1"/>
        <v>0.57471264367816088</v>
      </c>
      <c r="H4" s="8">
        <f t="shared" si="2"/>
        <v>1319.7105151128137</v>
      </c>
      <c r="I4" s="28"/>
    </row>
    <row r="5" spans="1:9" s="8" customFormat="1" x14ac:dyDescent="0.3">
      <c r="A5" s="8">
        <v>1977</v>
      </c>
      <c r="B5" s="8" t="s">
        <v>22</v>
      </c>
      <c r="C5" s="8">
        <v>376</v>
      </c>
      <c r="D5" s="8">
        <v>8409</v>
      </c>
      <c r="E5" s="8">
        <f t="shared" si="0"/>
        <v>4471.3996908074687</v>
      </c>
      <c r="F5" s="8">
        <v>35000</v>
      </c>
      <c r="G5" s="8">
        <f t="shared" si="1"/>
        <v>0.10057471264367816</v>
      </c>
      <c r="H5" s="8">
        <f t="shared" si="2"/>
        <v>449.70973901799255</v>
      </c>
      <c r="I5" s="28"/>
    </row>
    <row r="6" spans="1:9" s="8" customFormat="1" x14ac:dyDescent="0.3">
      <c r="A6" s="8">
        <v>1977</v>
      </c>
      <c r="B6" s="8" t="s">
        <v>23</v>
      </c>
      <c r="C6" s="8">
        <v>78</v>
      </c>
      <c r="D6" s="8">
        <v>320</v>
      </c>
      <c r="E6" s="8">
        <f t="shared" si="0"/>
        <v>24375</v>
      </c>
      <c r="F6" s="8">
        <v>12000</v>
      </c>
      <c r="G6" s="8">
        <f t="shared" si="1"/>
        <v>3.4482758620689655E-2</v>
      </c>
      <c r="H6" s="8">
        <f t="shared" si="2"/>
        <v>840.51724137931035</v>
      </c>
      <c r="I6" s="28"/>
    </row>
    <row r="7" spans="1:9" s="6" customFormat="1" x14ac:dyDescent="0.3">
      <c r="A7" s="6">
        <v>1977</v>
      </c>
      <c r="B7" s="6" t="s">
        <v>16</v>
      </c>
      <c r="C7" s="6">
        <v>5624</v>
      </c>
      <c r="D7" s="6">
        <f>SUM(D2:D6)</f>
        <v>108684</v>
      </c>
      <c r="E7" s="6">
        <f>C7/D7*100000</f>
        <v>5174.6347208420748</v>
      </c>
      <c r="F7" s="6">
        <f>SUM(F2:F6)</f>
        <v>348000</v>
      </c>
      <c r="G7" s="6">
        <f t="shared" si="1"/>
        <v>1</v>
      </c>
      <c r="H7" s="6">
        <f>SUM(H8:H12)</f>
        <v>6299.3669259860526</v>
      </c>
      <c r="I7" s="33"/>
    </row>
    <row r="8" spans="1:9" x14ac:dyDescent="0.3">
      <c r="G8" s="34" t="s">
        <v>24</v>
      </c>
      <c r="H8" s="34">
        <f>SUM(H2:H6)</f>
        <v>6299.3669259860526</v>
      </c>
      <c r="I8" s="34"/>
    </row>
  </sheetData>
  <mergeCells count="1">
    <mergeCell ref="I2:I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2"/>
  <sheetViews>
    <sheetView workbookViewId="0">
      <selection activeCell="B12" sqref="B12:M12"/>
    </sheetView>
  </sheetViews>
  <sheetFormatPr defaultRowHeight="14.4" x14ac:dyDescent="0.3"/>
  <cols>
    <col min="3" max="3" width="10.109375" bestFit="1" customWidth="1"/>
    <col min="4" max="4" width="11.6640625" bestFit="1" customWidth="1"/>
    <col min="5" max="5" width="14.33203125" bestFit="1" customWidth="1"/>
    <col min="6" max="6" width="12.88671875" bestFit="1" customWidth="1"/>
    <col min="7" max="7" width="13.109375" customWidth="1"/>
    <col min="10" max="10" width="18.6640625" customWidth="1"/>
    <col min="11" max="11" width="19" customWidth="1"/>
  </cols>
  <sheetData>
    <row r="3" spans="2:13" ht="43.2" x14ac:dyDescent="0.3">
      <c r="B3" t="s">
        <v>0</v>
      </c>
      <c r="C3" t="s">
        <v>7</v>
      </c>
      <c r="D3" t="s">
        <v>8</v>
      </c>
      <c r="E3" t="s">
        <v>9</v>
      </c>
      <c r="F3" t="s">
        <v>10</v>
      </c>
      <c r="G3" s="1" t="s">
        <v>11</v>
      </c>
      <c r="H3" t="s">
        <v>12</v>
      </c>
      <c r="I3" t="s">
        <v>13</v>
      </c>
      <c r="J3" s="1" t="s">
        <v>14</v>
      </c>
      <c r="K3" s="1" t="s">
        <v>15</v>
      </c>
    </row>
    <row r="4" spans="2:13" x14ac:dyDescent="0.3">
      <c r="B4" s="24">
        <v>1977</v>
      </c>
      <c r="C4" s="24" t="s">
        <v>16</v>
      </c>
      <c r="D4" s="24">
        <v>3304</v>
      </c>
      <c r="E4" s="24">
        <v>2320</v>
      </c>
      <c r="F4" s="24">
        <v>5624</v>
      </c>
      <c r="G4" s="24">
        <f>SUM(G5:G9)</f>
        <v>108684</v>
      </c>
      <c r="H4" s="24">
        <f t="shared" ref="H4:H9" si="0">F4/G4*100000</f>
        <v>5174.6347208420748</v>
      </c>
      <c r="I4" s="24">
        <f t="shared" ref="I4:I9" si="1">F4/G4*100000</f>
        <v>5174.6347208420748</v>
      </c>
      <c r="J4" s="24">
        <v>100</v>
      </c>
      <c r="K4" s="24"/>
      <c r="L4" s="7" t="s">
        <v>17</v>
      </c>
      <c r="M4" s="6"/>
    </row>
    <row r="5" spans="2:13" x14ac:dyDescent="0.3">
      <c r="B5" s="25">
        <v>1977</v>
      </c>
      <c r="C5" s="25" t="s">
        <v>18</v>
      </c>
      <c r="D5" s="25">
        <v>1440</v>
      </c>
      <c r="E5" s="25">
        <v>1132</v>
      </c>
      <c r="F5" s="25">
        <v>2574</v>
      </c>
      <c r="G5" s="25">
        <v>5500</v>
      </c>
      <c r="H5" s="25">
        <f t="shared" si="0"/>
        <v>46800</v>
      </c>
      <c r="I5" s="25">
        <f t="shared" si="1"/>
        <v>46800</v>
      </c>
      <c r="J5" s="25">
        <f>G5/G4</f>
        <v>5.0605424901549449E-2</v>
      </c>
      <c r="K5" s="25">
        <f>I5*J5</f>
        <v>2368.3338853925143</v>
      </c>
      <c r="L5" s="28" t="s">
        <v>19</v>
      </c>
      <c r="M5" s="8"/>
    </row>
    <row r="6" spans="2:13" x14ac:dyDescent="0.3">
      <c r="B6" s="25"/>
      <c r="C6" s="26" t="s">
        <v>20</v>
      </c>
      <c r="D6" s="25">
        <v>459</v>
      </c>
      <c r="E6" s="25">
        <v>338</v>
      </c>
      <c r="F6" s="25">
        <v>797</v>
      </c>
      <c r="G6" s="25">
        <v>89055</v>
      </c>
      <c r="H6" s="25">
        <f t="shared" si="0"/>
        <v>894.95255740834318</v>
      </c>
      <c r="I6" s="25">
        <f t="shared" si="1"/>
        <v>894.95255740834318</v>
      </c>
      <c r="J6" s="25">
        <f>G6/G4</f>
        <v>0.81939383901954288</v>
      </c>
      <c r="K6" s="25">
        <f>I6*J6</f>
        <v>733.3186117551802</v>
      </c>
      <c r="L6" s="28"/>
      <c r="M6" s="8"/>
    </row>
    <row r="7" spans="2:13" x14ac:dyDescent="0.3">
      <c r="B7" s="25">
        <v>1977</v>
      </c>
      <c r="C7" s="25" t="s">
        <v>21</v>
      </c>
      <c r="D7" s="25">
        <v>76</v>
      </c>
      <c r="E7" s="25">
        <v>48</v>
      </c>
      <c r="F7" s="25">
        <v>124</v>
      </c>
      <c r="G7" s="25">
        <v>5400</v>
      </c>
      <c r="H7" s="25">
        <f t="shared" si="0"/>
        <v>2296.2962962962961</v>
      </c>
      <c r="I7" s="25">
        <f t="shared" si="1"/>
        <v>2296.2962962962961</v>
      </c>
      <c r="J7" s="25">
        <f>G7/G4</f>
        <v>4.9685326266975818E-2</v>
      </c>
      <c r="K7" s="25">
        <f>I7*J7</f>
        <v>114.09223068712964</v>
      </c>
      <c r="L7" s="28"/>
      <c r="M7" s="8"/>
    </row>
    <row r="8" spans="2:13" x14ac:dyDescent="0.3">
      <c r="B8" s="25">
        <v>1977</v>
      </c>
      <c r="C8" s="25" t="s">
        <v>22</v>
      </c>
      <c r="D8" s="25">
        <v>245</v>
      </c>
      <c r="E8" s="25">
        <v>131</v>
      </c>
      <c r="F8" s="25">
        <v>376</v>
      </c>
      <c r="G8" s="25">
        <v>8409</v>
      </c>
      <c r="H8" s="25">
        <f t="shared" si="0"/>
        <v>4471.3996908074687</v>
      </c>
      <c r="I8" s="25">
        <f t="shared" si="1"/>
        <v>4471.3996908074687</v>
      </c>
      <c r="J8" s="25">
        <f>G8/G4</f>
        <v>7.7371094181296229E-2</v>
      </c>
      <c r="K8" s="25">
        <f>I8*J8</f>
        <v>345.95708659968352</v>
      </c>
      <c r="L8" s="28"/>
      <c r="M8" s="8"/>
    </row>
    <row r="9" spans="2:13" x14ac:dyDescent="0.3">
      <c r="B9" s="25">
        <v>1977</v>
      </c>
      <c r="C9" s="25" t="s">
        <v>23</v>
      </c>
      <c r="D9" s="25">
        <v>37</v>
      </c>
      <c r="E9" s="25">
        <v>41</v>
      </c>
      <c r="F9" s="25">
        <v>78</v>
      </c>
      <c r="G9" s="25">
        <v>320</v>
      </c>
      <c r="H9" s="25">
        <f t="shared" si="0"/>
        <v>24375</v>
      </c>
      <c r="I9" s="25">
        <f t="shared" si="1"/>
        <v>24375</v>
      </c>
      <c r="J9" s="25">
        <f>G9/G4</f>
        <v>2.9443156306356039E-3</v>
      </c>
      <c r="K9" s="25">
        <f>I9*J9</f>
        <v>71.767693496742851</v>
      </c>
      <c r="L9" s="28"/>
      <c r="M9" s="8"/>
    </row>
    <row r="10" spans="2:13" x14ac:dyDescent="0.3">
      <c r="B10" s="3"/>
      <c r="C10" s="3"/>
      <c r="D10" s="3"/>
      <c r="E10" s="3"/>
      <c r="F10" s="3"/>
      <c r="G10" s="3"/>
      <c r="H10" s="3"/>
      <c r="I10" s="3"/>
      <c r="J10" s="27" t="s">
        <v>24</v>
      </c>
      <c r="K10" s="27">
        <f>SUM(K5:K9)</f>
        <v>3633.469507931251</v>
      </c>
      <c r="L10" s="27"/>
    </row>
    <row r="12" spans="2:13" ht="63.75" customHeight="1" x14ac:dyDescent="0.3">
      <c r="B12" s="29" t="s">
        <v>25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</sheetData>
  <mergeCells count="2">
    <mergeCell ref="L5:L9"/>
    <mergeCell ref="B12:M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Odds ratio sheet</vt:lpstr>
      <vt:lpstr>Risk Ratios sheet</vt:lpstr>
      <vt:lpstr>Rates</vt:lpstr>
      <vt:lpstr>Rate info 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</dc:creator>
  <cp:lastModifiedBy>CDC User</cp:lastModifiedBy>
  <dcterms:created xsi:type="dcterms:W3CDTF">2013-02-14T11:07:47Z</dcterms:created>
  <dcterms:modified xsi:type="dcterms:W3CDTF">2016-10-21T21:13:04Z</dcterms:modified>
</cp:coreProperties>
</file>