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4.xml" ContentType="application/vnd.openxmlformats-officedocument.themeOverrid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5.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6.xml" ContentType="application/vnd.openxmlformats-officedocument.themeOverrid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7.xml" ContentType="application/vnd.openxmlformats-officedocument.themeOverride+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8.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9.xml" ContentType="application/vnd.openxmlformats-officedocument.themeOverride+xml"/>
  <Override PartName="/xl/drawings/drawing9.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theme/themeOverride10.xml" ContentType="application/vnd.openxmlformats-officedocument.themeOverride+xml"/>
  <Override PartName="/xl/charts/chart16.xml" ContentType="application/vnd.openxmlformats-officedocument.drawingml.chart+xml"/>
  <Override PartName="/xl/theme/themeOverride11.xml" ContentType="application/vnd.openxmlformats-officedocument.themeOverride+xml"/>
  <Override PartName="/xl/charts/chart17.xml" ContentType="application/vnd.openxmlformats-officedocument.drawingml.chart+xml"/>
  <Override PartName="/xl/theme/themeOverride12.xml" ContentType="application/vnd.openxmlformats-officedocument.themeOverride+xml"/>
  <Override PartName="/xl/charts/chart18.xml" ContentType="application/vnd.openxmlformats-officedocument.drawingml.chart+xml"/>
  <Override PartName="/xl/theme/themeOverride13.xml" ContentType="application/vnd.openxmlformats-officedocument.themeOverride+xml"/>
  <Override PartName="/xl/charts/chart19.xml" ContentType="application/vnd.openxmlformats-officedocument.drawingml.chart+xml"/>
  <Override PartName="/xl/theme/themeOverride14.xml" ContentType="application/vnd.openxmlformats-officedocument.themeOverride+xml"/>
  <Override PartName="/xl/charts/chart20.xml" ContentType="application/vnd.openxmlformats-officedocument.drawingml.chart+xml"/>
  <Override PartName="/xl/theme/themeOverride15.xml" ContentType="application/vnd.openxmlformats-officedocument.themeOverride+xml"/>
  <Override PartName="/xl/drawings/drawing10.xml" ContentType="application/vnd.openxmlformats-officedocument.drawing+xml"/>
  <Override PartName="/xl/charts/chart21.xml" ContentType="application/vnd.openxmlformats-officedocument.drawingml.chart+xml"/>
  <Override PartName="/xl/charts/style14.xml" ContentType="application/vnd.ms-office.chartstyle+xml"/>
  <Override PartName="/xl/charts/colors14.xml" ContentType="application/vnd.ms-office.chartcolorstyle+xml"/>
  <Override PartName="/xl/charts/chart22.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6.xml" ContentType="application/vnd.openxmlformats-officedocument.themeOverride+xml"/>
  <Override PartName="/xl/charts/chart23.xml" ContentType="application/vnd.openxmlformats-officedocument.drawingml.chart+xml"/>
  <Override PartName="/xl/charts/style16.xml" ContentType="application/vnd.ms-office.chartstyle+xml"/>
  <Override PartName="/xl/charts/colors16.xml" ContentType="application/vnd.ms-office.chartcolorstyle+xml"/>
  <Override PartName="/xl/charts/chart24.xml" ContentType="application/vnd.openxmlformats-officedocument.drawingml.chart+xml"/>
  <Override PartName="/xl/charts/style17.xml" ContentType="application/vnd.ms-office.chartstyle+xml"/>
  <Override PartName="/xl/charts/colors17.xml" ContentType="application/vnd.ms-office.chartcolorstyle+xml"/>
  <Override PartName="/xl/charts/chart25.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1.xml" ContentType="application/vnd.openxmlformats-officedocument.drawing+xml"/>
  <Override PartName="/xl/comments2.xml" ContentType="application/vnd.openxmlformats-officedocument.spreadsheetml.comments+xml"/>
  <Override PartName="/xl/charts/chart26.xml" ContentType="application/vnd.openxmlformats-officedocument.drawingml.chart+xml"/>
  <Override PartName="/xl/theme/themeOverride17.xml" ContentType="application/vnd.openxmlformats-officedocument.themeOverride+xml"/>
  <Override PartName="/xl/charts/chart27.xml" ContentType="application/vnd.openxmlformats-officedocument.drawingml.chart+xml"/>
  <Override PartName="/xl/theme/themeOverride18.xml" ContentType="application/vnd.openxmlformats-officedocument.themeOverride+xml"/>
  <Override PartName="/xl/charts/chart28.xml" ContentType="application/vnd.openxmlformats-officedocument.drawingml.chart+xml"/>
  <Override PartName="/xl/theme/themeOverride19.xml" ContentType="application/vnd.openxmlformats-officedocument.themeOverride+xml"/>
  <Override PartName="/xl/drawings/drawing12.xml" ContentType="application/vnd.openxmlformats-officedocument.drawing+xml"/>
  <Override PartName="/xl/charts/chart2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20.xml" ContentType="application/vnd.openxmlformats-officedocument.themeOverride+xml"/>
  <Override PartName="/xl/drawings/drawing13.xml" ContentType="application/vnd.openxmlformats-officedocument.drawing+xml"/>
  <Override PartName="/xl/charts/chart3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4.xml" ContentType="application/vnd.openxmlformats-officedocument.drawing+xml"/>
  <Override PartName="/xl/charts/chart3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21.xml" ContentType="application/vnd.openxmlformats-officedocument.themeOverride+xml"/>
  <Override PartName="/xl/charts/chart3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2.xml" ContentType="application/vnd.openxmlformats-officedocument.themeOverride+xml"/>
  <Override PartName="/xl/charts/chart3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5.xml" ContentType="application/vnd.openxmlformats-officedocument.drawing+xml"/>
  <Override PartName="/xl/charts/chart3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3.xml" ContentType="application/vnd.openxmlformats-officedocument.themeOverride+xml"/>
  <Override PartName="/xl/charts/chart3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4.xml" ContentType="application/vnd.openxmlformats-officedocument.themeOverride+xml"/>
  <Override PartName="/xl/charts/chart3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5.xml" ContentType="application/vnd.openxmlformats-officedocument.themeOverride+xml"/>
  <Override PartName="/xl/drawings/drawing16.xml" ContentType="application/vnd.openxmlformats-officedocument.drawing+xml"/>
  <Override PartName="/xl/charts/chart37.xml" ContentType="application/vnd.openxmlformats-officedocument.drawingml.chart+xml"/>
  <Override PartName="/xl/theme/themeOverride26.xml" ContentType="application/vnd.openxmlformats-officedocument.themeOverride+xml"/>
  <Override PartName="/xl/drawings/drawing17.xml" ContentType="application/vnd.openxmlformats-officedocument.drawing+xml"/>
  <Override PartName="/xl/charts/chart3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8.xml" ContentType="application/vnd.openxmlformats-officedocument.drawing+xml"/>
  <Override PartName="/xl/charts/chart39.xml" ContentType="application/vnd.openxmlformats-officedocument.drawingml.chart+xml"/>
  <Override PartName="/xl/charts/style28.xml" ContentType="application/vnd.ms-office.chartstyle+xml"/>
  <Override PartName="/xl/charts/colors28.xml" ContentType="application/vnd.ms-office.chartcolorstyle+xml"/>
  <Override PartName="/xl/charts/chart40.xml" ContentType="application/vnd.openxmlformats-officedocument.drawingml.chart+xml"/>
  <Override PartName="/xl/charts/style29.xml" ContentType="application/vnd.ms-office.chartstyle+xml"/>
  <Override PartName="/xl/charts/colors29.xml" ContentType="application/vnd.ms-office.chartcolorstyle+xml"/>
  <Override PartName="/xl/charts/chart41.xml" ContentType="application/vnd.openxmlformats-officedocument.drawingml.chart+xml"/>
  <Override PartName="/xl/charts/style30.xml" ContentType="application/vnd.ms-office.chartstyle+xml"/>
  <Override PartName="/xl/charts/colors30.xml" ContentType="application/vnd.ms-office.chartcolorstyle+xml"/>
  <Override PartName="/xl/charts/chart42.xml" ContentType="application/vnd.openxmlformats-officedocument.drawingml.chart+xml"/>
  <Override PartName="/xl/charts/style31.xml" ContentType="application/vnd.ms-office.chartstyle+xml"/>
  <Override PartName="/xl/charts/colors31.xml" ContentType="application/vnd.ms-office.chartcolorstyle+xml"/>
  <Override PartName="/xl/charts/chart43.xml" ContentType="application/vnd.openxmlformats-officedocument.drawingml.chart+xml"/>
  <Override PartName="/xl/charts/style32.xml" ContentType="application/vnd.ms-office.chartstyle+xml"/>
  <Override PartName="/xl/charts/colors32.xml" ContentType="application/vnd.ms-office.chartcolorstyle+xml"/>
  <Override PartName="/xl/charts/chart44.xml" ContentType="application/vnd.openxmlformats-officedocument.drawingml.chart+xml"/>
  <Override PartName="/xl/charts/style33.xml" ContentType="application/vnd.ms-office.chartstyle+xml"/>
  <Override PartName="/xl/charts/colors33.xml" ContentType="application/vnd.ms-office.chartcolorstyle+xml"/>
  <Override PartName="/xl/charts/chart45.xml" ContentType="application/vnd.openxmlformats-officedocument.drawingml.chart+xml"/>
  <Override PartName="/xl/charts/style34.xml" ContentType="application/vnd.ms-office.chartstyle+xml"/>
  <Override PartName="/xl/charts/colors34.xml" ContentType="application/vnd.ms-office.chartcolorstyle+xml"/>
  <Override PartName="/xl/charts/chart46.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19.xml" ContentType="application/vnd.openxmlformats-officedocument.drawing+xml"/>
  <Override PartName="/xl/charts/chart47.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27.xml" ContentType="application/vnd.openxmlformats-officedocument.themeOverride+xml"/>
  <Override PartName="/xl/drawings/drawing20.xml" ContentType="application/vnd.openxmlformats-officedocument.drawing+xml"/>
  <Override PartName="/xl/charts/chart48.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28.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filterPrivacy="1" defaultThemeVersion="124226"/>
  <xr:revisionPtr revIDLastSave="0" documentId="8_{3AA8003E-B43C-3A45-A807-C4CD0138A1BD}" xr6:coauthVersionLast="36" xr6:coauthVersionMax="36" xr10:uidLastSave="{00000000-0000-0000-0000-000000000000}"/>
  <bookViews>
    <workbookView xWindow="1380" yWindow="2900" windowWidth="24000" windowHeight="11380" tabRatio="597" firstSheet="17" activeTab="23" xr2:uid="{00000000-000D-0000-FFFF-FFFF00000000}"/>
  </bookViews>
  <sheets>
    <sheet name="Table_4.0_Information" sheetId="11" r:id="rId1"/>
    <sheet name="4_1.1b_Codes_List" sheetId="2" r:id="rId2"/>
    <sheet name="4_1.3_Manner" sheetId="4" r:id="rId3"/>
    <sheet name="4_1.4_Other_Codes" sheetId="5" r:id="rId4"/>
    <sheet name="4_1.6_First_Mention" sheetId="7" r:id="rId5"/>
    <sheet name="4_1.7_Primary" sheetId="8" r:id="rId6"/>
    <sheet name="4_1.11_Discharge_Expired" sheetId="12" r:id="rId7"/>
    <sheet name="4_1.9_Any_Mention" sheetId="9" r:id="rId8"/>
    <sheet name="4_2.3_Drug_by_Quarter" sheetId="17" state="hidden" r:id="rId9"/>
    <sheet name="4_2.3_Total" sheetId="28" r:id="rId10"/>
    <sheet name="4_2.3_Graphs-Drug_by_Quarte (2)" sheetId="27" state="hidden" r:id="rId11"/>
    <sheet name="4_2.4a-c_Potential Changes" sheetId="18" state="hidden" r:id="rId12"/>
    <sheet name="4_2.3_Total_Graphs" sheetId="29" r:id="rId13"/>
    <sheet name="4_2.4a-c_Total" sheetId="32" r:id="rId14"/>
    <sheet name="4_2.4a-c_Graphs-Potential Chang" sheetId="23" state="hidden" r:id="rId15"/>
    <sheet name="4_2.4b_multiopioid" sheetId="35" r:id="rId16"/>
    <sheet name="4_2.4a_encounter" sheetId="33" r:id="rId17"/>
    <sheet name="4_2.4a-c_Total_Graphs" sheetId="30" r:id="rId18"/>
    <sheet name="4_2.4c manner" sheetId="34" r:id="rId19"/>
    <sheet name="4_2.5_v2" sheetId="36" r:id="rId20"/>
    <sheet name="4_2.5_" sheetId="19" state="hidden" r:id="rId21"/>
    <sheet name="4_2.5 Viz" sheetId="24" state="hidden" r:id="rId22"/>
    <sheet name="4_3.1 " sheetId="38" r:id="rId23"/>
    <sheet name="4_3.2_GraphPolydrug_1.30states" sheetId="39" r:id="rId24"/>
    <sheet name="Emilia's graphics ideas" sheetId="40" r:id="rId25"/>
    <sheet name="4_1.3_Manner (2)" sheetId="41" r:id="rId26"/>
    <sheet name="4_1.1a" sheetId="42" r:id="rId27"/>
    <sheet name="Sheet1" sheetId="37" r:id="rId28"/>
    <sheet name="4_3.2_Polydrug" sheetId="20" r:id="rId29"/>
    <sheet name="4_3.2_GraphPolydrug" sheetId="25" r:id="rId30"/>
    <sheet name="4_3.2_GraphPolydrug_2" sheetId="26" r:id="rId31"/>
  </sheets>
  <externalReferences>
    <externalReference r:id="rId32"/>
    <externalReference r:id="rId33"/>
  </externalReferences>
  <definedNames>
    <definedName name="IDX" localSheetId="3">'4_1.4_Other_Codes'!$A$1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2" i="40" l="1"/>
  <c r="C46" i="40"/>
  <c r="B34" i="40"/>
  <c r="B5" i="40"/>
  <c r="H18" i="38"/>
  <c r="G27" i="38" s="1"/>
  <c r="G29" i="38"/>
  <c r="H20" i="38"/>
  <c r="H19" i="38"/>
  <c r="G28" i="38" s="1"/>
  <c r="H17" i="38"/>
  <c r="G26" i="38" s="1"/>
  <c r="H16" i="38"/>
  <c r="G25" i="38" s="1"/>
  <c r="AB65" i="39"/>
  <c r="AB66" i="39"/>
  <c r="AB67" i="39"/>
  <c r="AB68" i="39"/>
  <c r="AB69" i="39"/>
  <c r="AB70" i="39"/>
  <c r="AB71" i="39"/>
  <c r="AB72" i="39"/>
  <c r="AB73" i="39"/>
  <c r="AB74" i="39"/>
  <c r="AB75" i="39"/>
  <c r="AB64" i="39"/>
  <c r="AA65" i="39"/>
  <c r="AA66" i="39"/>
  <c r="AA67" i="39"/>
  <c r="AA68" i="39"/>
  <c r="AA69" i="39"/>
  <c r="AA70" i="39"/>
  <c r="AA71" i="39"/>
  <c r="AA72" i="39"/>
  <c r="AA73" i="39"/>
  <c r="AA74" i="39"/>
  <c r="AA75" i="39"/>
  <c r="AA64" i="39"/>
  <c r="Z65" i="39"/>
  <c r="Z66" i="39"/>
  <c r="Z67" i="39"/>
  <c r="Z68" i="39"/>
  <c r="Z69" i="39"/>
  <c r="Z70" i="39"/>
  <c r="Z71" i="39"/>
  <c r="Z72" i="39"/>
  <c r="B94" i="40" s="1"/>
  <c r="Z73" i="39"/>
  <c r="Z74" i="39"/>
  <c r="Z75" i="39"/>
  <c r="Z64" i="39"/>
  <c r="Y65" i="39"/>
  <c r="Y66" i="39"/>
  <c r="C70" i="40" s="1"/>
  <c r="Y67" i="39"/>
  <c r="Y68" i="39"/>
  <c r="Y69" i="39"/>
  <c r="C82" i="40" s="1"/>
  <c r="Y70" i="39"/>
  <c r="Y71" i="39"/>
  <c r="Y72" i="39"/>
  <c r="Y73" i="39"/>
  <c r="C94" i="40" s="1"/>
  <c r="Y74" i="39"/>
  <c r="Y75" i="39"/>
  <c r="Y64" i="39"/>
  <c r="X65" i="39"/>
  <c r="C58" i="40" s="1"/>
  <c r="X66" i="39"/>
  <c r="X67" i="39"/>
  <c r="X68" i="39"/>
  <c r="X69" i="39"/>
  <c r="X70" i="39"/>
  <c r="X71" i="39"/>
  <c r="X72" i="39"/>
  <c r="X73" i="39"/>
  <c r="X74" i="39"/>
  <c r="X75" i="39"/>
  <c r="X64" i="39"/>
  <c r="W65" i="39"/>
  <c r="W66" i="39"/>
  <c r="W67" i="39"/>
  <c r="W68" i="39"/>
  <c r="W69" i="39"/>
  <c r="W70" i="39"/>
  <c r="W71" i="39"/>
  <c r="W72" i="39"/>
  <c r="W73" i="39"/>
  <c r="W74" i="39"/>
  <c r="W75" i="39"/>
  <c r="W64" i="39"/>
  <c r="V65" i="39"/>
  <c r="V66" i="39"/>
  <c r="V67" i="39"/>
  <c r="V68" i="39"/>
  <c r="V69" i="39"/>
  <c r="V70" i="39"/>
  <c r="V71" i="39"/>
  <c r="V72" i="39"/>
  <c r="V73" i="39"/>
  <c r="V74" i="39"/>
  <c r="V75" i="39"/>
  <c r="V64" i="39"/>
  <c r="U65" i="39"/>
  <c r="U66" i="39"/>
  <c r="U67" i="39"/>
  <c r="U68" i="39"/>
  <c r="U69" i="39"/>
  <c r="U70" i="39"/>
  <c r="U71" i="39"/>
  <c r="U72" i="39"/>
  <c r="U73" i="39"/>
  <c r="U74" i="39"/>
  <c r="U75" i="39"/>
  <c r="U64" i="39"/>
  <c r="T65" i="39"/>
  <c r="T66" i="39"/>
  <c r="T67" i="39"/>
  <c r="T68" i="39"/>
  <c r="T69" i="39"/>
  <c r="B22" i="40" s="1"/>
  <c r="T70" i="39"/>
  <c r="T71" i="39"/>
  <c r="T72" i="39"/>
  <c r="B46" i="40" s="1"/>
  <c r="T73" i="39"/>
  <c r="T74" i="39"/>
  <c r="T75" i="39"/>
  <c r="T64" i="39"/>
  <c r="S65" i="39"/>
  <c r="S66" i="39"/>
  <c r="S67" i="39"/>
  <c r="S68" i="39"/>
  <c r="S69" i="39"/>
  <c r="C22" i="40" s="1"/>
  <c r="S70" i="39"/>
  <c r="S71" i="39"/>
  <c r="C34" i="40" s="1"/>
  <c r="S72" i="39"/>
  <c r="B70" i="40" s="1"/>
  <c r="S73" i="39"/>
  <c r="S74" i="39"/>
  <c r="S75" i="39"/>
  <c r="S64" i="39"/>
  <c r="R65" i="39"/>
  <c r="R66" i="39"/>
  <c r="R67" i="39"/>
  <c r="R68" i="39"/>
  <c r="R69" i="39"/>
  <c r="R70" i="39"/>
  <c r="R71" i="39"/>
  <c r="B58" i="40" s="1"/>
  <c r="R72" i="39"/>
  <c r="R73" i="39"/>
  <c r="R74" i="39"/>
  <c r="R75" i="39"/>
  <c r="R64" i="39"/>
  <c r="Q66" i="39"/>
  <c r="Q67" i="39"/>
  <c r="Q68" i="39"/>
  <c r="Q69" i="39"/>
  <c r="Q70" i="39"/>
  <c r="Q71" i="39"/>
  <c r="Q72" i="39"/>
  <c r="Q73" i="39"/>
  <c r="Q74" i="39"/>
  <c r="Q75" i="39"/>
  <c r="Q65" i="39"/>
  <c r="C5" i="40" s="1"/>
  <c r="Q64" i="39"/>
  <c r="S32" i="8" l="1"/>
  <c r="S31" i="8"/>
  <c r="S30" i="8"/>
  <c r="S29" i="8"/>
  <c r="S28" i="8"/>
  <c r="S27" i="8"/>
  <c r="S26" i="8"/>
  <c r="S25" i="8"/>
  <c r="B6" i="40"/>
  <c r="J30" i="42" l="1"/>
  <c r="F30" i="42"/>
  <c r="J24" i="42"/>
  <c r="I33" i="42" s="1"/>
  <c r="J23" i="42"/>
  <c r="J32" i="42" s="1"/>
  <c r="J22" i="42"/>
  <c r="H31" i="42" s="1"/>
  <c r="J21" i="42"/>
  <c r="I30" i="42" s="1"/>
  <c r="J20" i="42"/>
  <c r="I29" i="42" s="1"/>
  <c r="B15" i="42"/>
  <c r="C14" i="42" s="1"/>
  <c r="C12" i="42"/>
  <c r="C11" i="42"/>
  <c r="C8" i="42"/>
  <c r="C7" i="42"/>
  <c r="N11" i="41"/>
  <c r="AC10" i="41" s="1"/>
  <c r="M11" i="41"/>
  <c r="AB10" i="41" s="1"/>
  <c r="L11" i="41"/>
  <c r="AA10" i="41" s="1"/>
  <c r="K11" i="41"/>
  <c r="J11" i="41"/>
  <c r="Y10" i="41" s="1"/>
  <c r="I11" i="41"/>
  <c r="X10" i="41" s="1"/>
  <c r="H11" i="41"/>
  <c r="W9" i="41" s="1"/>
  <c r="G11" i="41"/>
  <c r="F11" i="41"/>
  <c r="U10" i="41" s="1"/>
  <c r="E11" i="41"/>
  <c r="T10" i="41" s="1"/>
  <c r="C11" i="41"/>
  <c r="R8" i="41" s="1"/>
  <c r="B11" i="41"/>
  <c r="Q10" i="41" s="1"/>
  <c r="Z10" i="41"/>
  <c r="W10" i="41"/>
  <c r="V10" i="41"/>
  <c r="S10" i="41"/>
  <c r="AA9" i="41"/>
  <c r="Z9" i="41"/>
  <c r="V9" i="41"/>
  <c r="S9" i="41"/>
  <c r="AB8" i="41"/>
  <c r="Z8" i="41"/>
  <c r="X8" i="41"/>
  <c r="V8" i="41"/>
  <c r="T8" i="41"/>
  <c r="S8" i="41"/>
  <c r="AC7" i="41"/>
  <c r="AB7" i="41"/>
  <c r="Z7" i="41"/>
  <c r="Y7" i="41"/>
  <c r="X7" i="41"/>
  <c r="V7" i="41"/>
  <c r="U7" i="41"/>
  <c r="T7" i="41"/>
  <c r="S7" i="41"/>
  <c r="Q7" i="41"/>
  <c r="AA6" i="41"/>
  <c r="Z6" i="41"/>
  <c r="V6" i="41"/>
  <c r="S6" i="41"/>
  <c r="Z5" i="41"/>
  <c r="W5" i="41"/>
  <c r="V5" i="41"/>
  <c r="S5" i="41"/>
  <c r="AC4" i="41"/>
  <c r="AB4" i="41"/>
  <c r="AA4" i="41"/>
  <c r="Z4" i="41"/>
  <c r="Y4" i="41"/>
  <c r="X4" i="41"/>
  <c r="W4" i="41"/>
  <c r="V4" i="41"/>
  <c r="T4" i="41"/>
  <c r="R4" i="41"/>
  <c r="Q4" i="41"/>
  <c r="N4" i="41"/>
  <c r="M4" i="41"/>
  <c r="L4" i="41"/>
  <c r="K4" i="41"/>
  <c r="J4" i="41"/>
  <c r="I4" i="41"/>
  <c r="H4" i="41"/>
  <c r="G4" i="41"/>
  <c r="E4" i="41"/>
  <c r="C4" i="41"/>
  <c r="B4" i="41"/>
  <c r="C96" i="40"/>
  <c r="B96" i="40"/>
  <c r="C95" i="40"/>
  <c r="B95" i="40"/>
  <c r="C93" i="40"/>
  <c r="B93" i="40"/>
  <c r="C92" i="40"/>
  <c r="B92" i="40"/>
  <c r="C84" i="40"/>
  <c r="B84" i="40"/>
  <c r="C83" i="40"/>
  <c r="B83" i="40"/>
  <c r="C81" i="40"/>
  <c r="B81" i="40"/>
  <c r="C80" i="40"/>
  <c r="B80" i="40"/>
  <c r="C72" i="40"/>
  <c r="B72" i="40"/>
  <c r="C71" i="40"/>
  <c r="B71" i="40"/>
  <c r="C69" i="40"/>
  <c r="B69" i="40"/>
  <c r="C68" i="40"/>
  <c r="B68" i="40"/>
  <c r="C60" i="40"/>
  <c r="B60" i="40"/>
  <c r="C59" i="40"/>
  <c r="B59" i="40"/>
  <c r="C57" i="40"/>
  <c r="B57" i="40"/>
  <c r="C56" i="40"/>
  <c r="B56" i="40"/>
  <c r="C48" i="40"/>
  <c r="B48" i="40"/>
  <c r="C47" i="40"/>
  <c r="B47" i="40"/>
  <c r="C45" i="40"/>
  <c r="B45" i="40"/>
  <c r="C44" i="40"/>
  <c r="B44" i="40"/>
  <c r="C36" i="40"/>
  <c r="B36" i="40"/>
  <c r="C35" i="40"/>
  <c r="B35" i="40"/>
  <c r="C33" i="40"/>
  <c r="B33" i="40"/>
  <c r="C32" i="40"/>
  <c r="B32" i="40"/>
  <c r="C24" i="40"/>
  <c r="B24" i="40"/>
  <c r="C23" i="40"/>
  <c r="B23" i="40"/>
  <c r="C21" i="40"/>
  <c r="B21" i="40"/>
  <c r="C20" i="40"/>
  <c r="B20" i="40"/>
  <c r="C7" i="40"/>
  <c r="B7" i="40"/>
  <c r="C6" i="40"/>
  <c r="C4" i="40"/>
  <c r="B4" i="40"/>
  <c r="C3" i="40"/>
  <c r="B3" i="40"/>
  <c r="B160" i="39"/>
  <c r="B146" i="39"/>
  <c r="B132" i="39"/>
  <c r="B118" i="39"/>
  <c r="B104" i="39"/>
  <c r="B90" i="39"/>
  <c r="AB76" i="39"/>
  <c r="Y76" i="39"/>
  <c r="X76" i="39"/>
  <c r="U76" i="39"/>
  <c r="T76" i="39"/>
  <c r="AB60" i="39"/>
  <c r="AA60" i="39"/>
  <c r="Z60" i="39"/>
  <c r="Y60" i="39"/>
  <c r="X60" i="39"/>
  <c r="W60" i="39"/>
  <c r="V60" i="39"/>
  <c r="U60" i="39"/>
  <c r="T60" i="39"/>
  <c r="S60" i="39"/>
  <c r="R60" i="39"/>
  <c r="Q60" i="39"/>
  <c r="AB59" i="39"/>
  <c r="AA59" i="39"/>
  <c r="Z59" i="39"/>
  <c r="Y59" i="39"/>
  <c r="X59" i="39"/>
  <c r="W59" i="39"/>
  <c r="V59" i="39"/>
  <c r="U59" i="39"/>
  <c r="T59" i="39"/>
  <c r="S59" i="39"/>
  <c r="R59" i="39"/>
  <c r="Q59" i="39"/>
  <c r="AB58" i="39"/>
  <c r="AA58" i="39"/>
  <c r="Z58" i="39"/>
  <c r="Y58" i="39"/>
  <c r="X58" i="39"/>
  <c r="W58" i="39"/>
  <c r="V58" i="39"/>
  <c r="U58" i="39"/>
  <c r="T58" i="39"/>
  <c r="S58" i="39"/>
  <c r="R58" i="39"/>
  <c r="Q58" i="39"/>
  <c r="AB57" i="39"/>
  <c r="AA57" i="39"/>
  <c r="Z57" i="39"/>
  <c r="Y57" i="39"/>
  <c r="X57" i="39"/>
  <c r="W57" i="39"/>
  <c r="V57" i="39"/>
  <c r="U57" i="39"/>
  <c r="T57" i="39"/>
  <c r="S57" i="39"/>
  <c r="R57" i="39"/>
  <c r="Q57" i="39"/>
  <c r="AB56" i="39"/>
  <c r="AA56" i="39"/>
  <c r="Z56" i="39"/>
  <c r="Y56" i="39"/>
  <c r="X56" i="39"/>
  <c r="W56" i="39"/>
  <c r="V56" i="39"/>
  <c r="U56" i="39"/>
  <c r="T56" i="39"/>
  <c r="S56" i="39"/>
  <c r="R56" i="39"/>
  <c r="Q56" i="39"/>
  <c r="AB55" i="39"/>
  <c r="AA55" i="39"/>
  <c r="Z55" i="39"/>
  <c r="Y55" i="39"/>
  <c r="X55" i="39"/>
  <c r="W55" i="39"/>
  <c r="V55" i="39"/>
  <c r="U55" i="39"/>
  <c r="T55" i="39"/>
  <c r="S55" i="39"/>
  <c r="R55" i="39"/>
  <c r="Q55" i="39"/>
  <c r="AB54" i="39"/>
  <c r="AA54" i="39"/>
  <c r="Z54" i="39"/>
  <c r="Y54" i="39"/>
  <c r="X54" i="39"/>
  <c r="W54" i="39"/>
  <c r="V54" i="39"/>
  <c r="U54" i="39"/>
  <c r="T54" i="39"/>
  <c r="S54" i="39"/>
  <c r="R54" i="39"/>
  <c r="Q54" i="39"/>
  <c r="AB53" i="39"/>
  <c r="AA53" i="39"/>
  <c r="Z53" i="39"/>
  <c r="Y53" i="39"/>
  <c r="X53" i="39"/>
  <c r="W53" i="39"/>
  <c r="V53" i="39"/>
  <c r="U53" i="39"/>
  <c r="T53" i="39"/>
  <c r="S53" i="39"/>
  <c r="R53" i="39"/>
  <c r="Q53" i="39"/>
  <c r="AB52" i="39"/>
  <c r="AA52" i="39"/>
  <c r="Z52" i="39"/>
  <c r="Y52" i="39"/>
  <c r="X52" i="39"/>
  <c r="W52" i="39"/>
  <c r="V52" i="39"/>
  <c r="U52" i="39"/>
  <c r="T52" i="39"/>
  <c r="S52" i="39"/>
  <c r="R52" i="39"/>
  <c r="Q52" i="39"/>
  <c r="AB51" i="39"/>
  <c r="AA51" i="39"/>
  <c r="Z51" i="39"/>
  <c r="Y51" i="39"/>
  <c r="X51" i="39"/>
  <c r="W51" i="39"/>
  <c r="V51" i="39"/>
  <c r="U51" i="39"/>
  <c r="T51" i="39"/>
  <c r="S51" i="39"/>
  <c r="R51" i="39"/>
  <c r="Q51" i="39"/>
  <c r="AB50" i="39"/>
  <c r="AA50" i="39"/>
  <c r="Z50" i="39"/>
  <c r="Y50" i="39"/>
  <c r="X50" i="39"/>
  <c r="W50" i="39"/>
  <c r="V50" i="39"/>
  <c r="U50" i="39"/>
  <c r="T50" i="39"/>
  <c r="S50" i="39"/>
  <c r="R50" i="39"/>
  <c r="Q50" i="39"/>
  <c r="Q61" i="39" s="1"/>
  <c r="AB49" i="39"/>
  <c r="AB61" i="39" s="1"/>
  <c r="AA49" i="39"/>
  <c r="AA61" i="39" s="1"/>
  <c r="Z49" i="39"/>
  <c r="Z61" i="39" s="1"/>
  <c r="Y49" i="39"/>
  <c r="Y61" i="39" s="1"/>
  <c r="X49" i="39"/>
  <c r="X61" i="39" s="1"/>
  <c r="W49" i="39"/>
  <c r="W61" i="39" s="1"/>
  <c r="V49" i="39"/>
  <c r="V61" i="39" s="1"/>
  <c r="U49" i="39"/>
  <c r="U61" i="39" s="1"/>
  <c r="T49" i="39"/>
  <c r="T61" i="39" s="1"/>
  <c r="S49" i="39"/>
  <c r="S61" i="39" s="1"/>
  <c r="R49" i="39"/>
  <c r="R61" i="39" s="1"/>
  <c r="Q49" i="39"/>
  <c r="M46" i="39"/>
  <c r="L46" i="39"/>
  <c r="K46" i="39"/>
  <c r="J46" i="39"/>
  <c r="I46" i="39"/>
  <c r="H46" i="39"/>
  <c r="G46" i="39"/>
  <c r="F46" i="39"/>
  <c r="E46" i="39"/>
  <c r="D46" i="39"/>
  <c r="C46" i="39"/>
  <c r="B46" i="39"/>
  <c r="AB45" i="39"/>
  <c r="AA45" i="39"/>
  <c r="Z45" i="39"/>
  <c r="Y45" i="39"/>
  <c r="X45" i="39"/>
  <c r="W45" i="39"/>
  <c r="V45" i="39"/>
  <c r="U45" i="39"/>
  <c r="T45" i="39"/>
  <c r="S45" i="39"/>
  <c r="R45" i="39"/>
  <c r="Q45" i="39"/>
  <c r="N45" i="39"/>
  <c r="AB44" i="39"/>
  <c r="AA44" i="39"/>
  <c r="Z44" i="39"/>
  <c r="Y44" i="39"/>
  <c r="X44" i="39"/>
  <c r="W44" i="39"/>
  <c r="V44" i="39"/>
  <c r="U44" i="39"/>
  <c r="T44" i="39"/>
  <c r="S44" i="39"/>
  <c r="R44" i="39"/>
  <c r="Q44" i="39"/>
  <c r="N44" i="39"/>
  <c r="AB43" i="39"/>
  <c r="AA43" i="39"/>
  <c r="Z43" i="39"/>
  <c r="Y43" i="39"/>
  <c r="X43" i="39"/>
  <c r="W43" i="39"/>
  <c r="V43" i="39"/>
  <c r="U43" i="39"/>
  <c r="T43" i="39"/>
  <c r="S43" i="39"/>
  <c r="R43" i="39"/>
  <c r="Q43" i="39"/>
  <c r="N43" i="39"/>
  <c r="AB42" i="39"/>
  <c r="AA42" i="39"/>
  <c r="Z42" i="39"/>
  <c r="Y42" i="39"/>
  <c r="X42" i="39"/>
  <c r="W42" i="39"/>
  <c r="V42" i="39"/>
  <c r="U42" i="39"/>
  <c r="T42" i="39"/>
  <c r="S42" i="39"/>
  <c r="R42" i="39"/>
  <c r="Q42" i="39"/>
  <c r="N42" i="39"/>
  <c r="AB41" i="39"/>
  <c r="AA41" i="39"/>
  <c r="Z41" i="39"/>
  <c r="Y41" i="39"/>
  <c r="X41" i="39"/>
  <c r="W41" i="39"/>
  <c r="V41" i="39"/>
  <c r="U41" i="39"/>
  <c r="T41" i="39"/>
  <c r="S41" i="39"/>
  <c r="R41" i="39"/>
  <c r="Q41" i="39"/>
  <c r="N41" i="39"/>
  <c r="AB40" i="39"/>
  <c r="AA40" i="39"/>
  <c r="Z40" i="39"/>
  <c r="Y40" i="39"/>
  <c r="X40" i="39"/>
  <c r="W40" i="39"/>
  <c r="V40" i="39"/>
  <c r="U40" i="39"/>
  <c r="T40" i="39"/>
  <c r="S40" i="39"/>
  <c r="R40" i="39"/>
  <c r="Q40" i="39"/>
  <c r="N40" i="39"/>
  <c r="AB39" i="39"/>
  <c r="AA39" i="39"/>
  <c r="Z39" i="39"/>
  <c r="Y39" i="39"/>
  <c r="X39" i="39"/>
  <c r="W39" i="39"/>
  <c r="V39" i="39"/>
  <c r="U39" i="39"/>
  <c r="T39" i="39"/>
  <c r="S39" i="39"/>
  <c r="R39" i="39"/>
  <c r="Q39" i="39"/>
  <c r="N39" i="39"/>
  <c r="AB38" i="39"/>
  <c r="AA38" i="39"/>
  <c r="Z38" i="39"/>
  <c r="Y38" i="39"/>
  <c r="X38" i="39"/>
  <c r="W38" i="39"/>
  <c r="V38" i="39"/>
  <c r="U38" i="39"/>
  <c r="T38" i="39"/>
  <c r="S38" i="39"/>
  <c r="R38" i="39"/>
  <c r="Q38" i="39"/>
  <c r="N38" i="39"/>
  <c r="AB37" i="39"/>
  <c r="AA37" i="39"/>
  <c r="Z37" i="39"/>
  <c r="Y37" i="39"/>
  <c r="X37" i="39"/>
  <c r="W37" i="39"/>
  <c r="V37" i="39"/>
  <c r="U37" i="39"/>
  <c r="T37" i="39"/>
  <c r="S37" i="39"/>
  <c r="R37" i="39"/>
  <c r="Q37" i="39"/>
  <c r="N37" i="39"/>
  <c r="AB36" i="39"/>
  <c r="AA36" i="39"/>
  <c r="Z36" i="39"/>
  <c r="Y36" i="39"/>
  <c r="X36" i="39"/>
  <c r="W36" i="39"/>
  <c r="V36" i="39"/>
  <c r="U36" i="39"/>
  <c r="T36" i="39"/>
  <c r="S36" i="39"/>
  <c r="R36" i="39"/>
  <c r="Q36" i="39"/>
  <c r="N36" i="39"/>
  <c r="AB35" i="39"/>
  <c r="AA35" i="39"/>
  <c r="Z35" i="39"/>
  <c r="Y35" i="39"/>
  <c r="X35" i="39"/>
  <c r="W35" i="39"/>
  <c r="V35" i="39"/>
  <c r="U35" i="39"/>
  <c r="T35" i="39"/>
  <c r="S35" i="39"/>
  <c r="R35" i="39"/>
  <c r="Q35" i="39"/>
  <c r="N35" i="39"/>
  <c r="AB34" i="39"/>
  <c r="AA34" i="39"/>
  <c r="Z34" i="39"/>
  <c r="Y34" i="39"/>
  <c r="X34" i="39"/>
  <c r="X46" i="39" s="1"/>
  <c r="W34" i="39"/>
  <c r="V34" i="39"/>
  <c r="U34" i="39"/>
  <c r="T34" i="39"/>
  <c r="S34" i="39"/>
  <c r="R34" i="39"/>
  <c r="Q34" i="39"/>
  <c r="N34" i="39"/>
  <c r="B32" i="39"/>
  <c r="M31" i="39"/>
  <c r="L31" i="39"/>
  <c r="K31" i="39"/>
  <c r="J31" i="39"/>
  <c r="I31" i="39"/>
  <c r="H31" i="39"/>
  <c r="G31" i="39"/>
  <c r="F31" i="39"/>
  <c r="E31" i="39"/>
  <c r="D31" i="39"/>
  <c r="C31" i="39"/>
  <c r="B31" i="39"/>
  <c r="AB30" i="39"/>
  <c r="AA30" i="39"/>
  <c r="Y30" i="39"/>
  <c r="X30" i="39"/>
  <c r="W30" i="39"/>
  <c r="T30" i="39"/>
  <c r="Q30" i="39"/>
  <c r="N30" i="39"/>
  <c r="AB29" i="39"/>
  <c r="AA29" i="39"/>
  <c r="Z29" i="39"/>
  <c r="Y29" i="39"/>
  <c r="W29" i="39"/>
  <c r="T29" i="39"/>
  <c r="S29" i="39"/>
  <c r="R29" i="39"/>
  <c r="N29" i="39"/>
  <c r="AA28" i="39"/>
  <c r="Z28" i="39"/>
  <c r="Y28" i="39"/>
  <c r="W28" i="39"/>
  <c r="T28" i="39"/>
  <c r="S28" i="39"/>
  <c r="R28" i="39"/>
  <c r="N28" i="39"/>
  <c r="AB27" i="39"/>
  <c r="AA27" i="39"/>
  <c r="Z27" i="39"/>
  <c r="Y27" i="39"/>
  <c r="X27" i="39"/>
  <c r="W27" i="39"/>
  <c r="V27" i="39"/>
  <c r="U27" i="39"/>
  <c r="T27" i="39"/>
  <c r="S27" i="39"/>
  <c r="R27" i="39"/>
  <c r="Q27" i="39"/>
  <c r="N27" i="39"/>
  <c r="AB26" i="39"/>
  <c r="Y26" i="39"/>
  <c r="X26" i="39"/>
  <c r="W26" i="39"/>
  <c r="V26" i="39"/>
  <c r="U26" i="39"/>
  <c r="T26" i="39"/>
  <c r="S26" i="39"/>
  <c r="R26" i="39"/>
  <c r="Q26" i="39"/>
  <c r="N26" i="39"/>
  <c r="AB25" i="39"/>
  <c r="AA25" i="39"/>
  <c r="Z25" i="39"/>
  <c r="Y25" i="39"/>
  <c r="X25" i="39"/>
  <c r="W25" i="39"/>
  <c r="U25" i="39"/>
  <c r="T25" i="39"/>
  <c r="S25" i="39"/>
  <c r="R25" i="39"/>
  <c r="N25" i="39"/>
  <c r="Y24" i="39"/>
  <c r="X24" i="39"/>
  <c r="V24" i="39"/>
  <c r="U24" i="39"/>
  <c r="T24" i="39"/>
  <c r="S24" i="39"/>
  <c r="R24" i="39"/>
  <c r="Q24" i="39"/>
  <c r="N24" i="39"/>
  <c r="Y23" i="39"/>
  <c r="X23" i="39"/>
  <c r="W23" i="39"/>
  <c r="V23" i="39"/>
  <c r="U23" i="39"/>
  <c r="T23" i="39"/>
  <c r="S23" i="39"/>
  <c r="R23" i="39"/>
  <c r="Q23" i="39"/>
  <c r="N23" i="39"/>
  <c r="AB22" i="39"/>
  <c r="AA22" i="39"/>
  <c r="Z22" i="39"/>
  <c r="Y22" i="39"/>
  <c r="X22" i="39"/>
  <c r="W22" i="39"/>
  <c r="V22" i="39"/>
  <c r="U22" i="39"/>
  <c r="T22" i="39"/>
  <c r="S22" i="39"/>
  <c r="R22" i="39"/>
  <c r="Q22" i="39"/>
  <c r="N22" i="39"/>
  <c r="AA21" i="39"/>
  <c r="Z21" i="39"/>
  <c r="Y21" i="39"/>
  <c r="X21" i="39"/>
  <c r="W21" i="39"/>
  <c r="V21" i="39"/>
  <c r="U21" i="39"/>
  <c r="T21" i="39"/>
  <c r="S21" i="39"/>
  <c r="R21" i="39"/>
  <c r="Q21" i="39"/>
  <c r="N21" i="39"/>
  <c r="AA20" i="39"/>
  <c r="Z20" i="39"/>
  <c r="Y20" i="39"/>
  <c r="X20" i="39"/>
  <c r="W20" i="39"/>
  <c r="V20" i="39"/>
  <c r="U20" i="39"/>
  <c r="T20" i="39"/>
  <c r="S20" i="39"/>
  <c r="R20" i="39"/>
  <c r="Q20" i="39"/>
  <c r="N20" i="39"/>
  <c r="AB19" i="39"/>
  <c r="Y19" i="39"/>
  <c r="X19" i="39"/>
  <c r="V19" i="39"/>
  <c r="U19" i="39"/>
  <c r="T19" i="39"/>
  <c r="S19" i="39"/>
  <c r="R19" i="39"/>
  <c r="Q19" i="39"/>
  <c r="N19" i="39"/>
  <c r="B17" i="39"/>
  <c r="M16" i="39"/>
  <c r="L16" i="39"/>
  <c r="K16" i="39"/>
  <c r="J16" i="39"/>
  <c r="I16" i="39"/>
  <c r="H16" i="39"/>
  <c r="G16" i="39"/>
  <c r="F16" i="39"/>
  <c r="E16" i="39"/>
  <c r="D16" i="39"/>
  <c r="C16" i="39"/>
  <c r="B16" i="39"/>
  <c r="AB15" i="39"/>
  <c r="AA15" i="39"/>
  <c r="Z15" i="39"/>
  <c r="Y15" i="39"/>
  <c r="X15" i="39"/>
  <c r="W15" i="39"/>
  <c r="V15" i="39"/>
  <c r="U15" i="39"/>
  <c r="T15" i="39"/>
  <c r="S15" i="39"/>
  <c r="R15" i="39"/>
  <c r="Q15" i="39"/>
  <c r="N15" i="39"/>
  <c r="AB14" i="39"/>
  <c r="AA14" i="39"/>
  <c r="Z14" i="39"/>
  <c r="Y14" i="39"/>
  <c r="X14" i="39"/>
  <c r="W14" i="39"/>
  <c r="V14" i="39"/>
  <c r="U14" i="39"/>
  <c r="T14" i="39"/>
  <c r="S14" i="39"/>
  <c r="R14" i="39"/>
  <c r="Q14" i="39"/>
  <c r="N14" i="39"/>
  <c r="AB13" i="39"/>
  <c r="AA13" i="39"/>
  <c r="Z13" i="39"/>
  <c r="Y13" i="39"/>
  <c r="X13" i="39"/>
  <c r="W13" i="39"/>
  <c r="V13" i="39"/>
  <c r="U13" i="39"/>
  <c r="T13" i="39"/>
  <c r="S13" i="39"/>
  <c r="R13" i="39"/>
  <c r="Q13" i="39"/>
  <c r="N13" i="39"/>
  <c r="AB12" i="39"/>
  <c r="AA12" i="39"/>
  <c r="Z12" i="39"/>
  <c r="Y12" i="39"/>
  <c r="X12" i="39"/>
  <c r="W12" i="39"/>
  <c r="V12" i="39"/>
  <c r="U12" i="39"/>
  <c r="T12" i="39"/>
  <c r="S12" i="39"/>
  <c r="R12" i="39"/>
  <c r="Q12" i="39"/>
  <c r="N12" i="39"/>
  <c r="AB11" i="39"/>
  <c r="AA11" i="39"/>
  <c r="Z11" i="39"/>
  <c r="Y11" i="39"/>
  <c r="X11" i="39"/>
  <c r="W11" i="39"/>
  <c r="V11" i="39"/>
  <c r="U11" i="39"/>
  <c r="T11" i="39"/>
  <c r="S11" i="39"/>
  <c r="R11" i="39"/>
  <c r="Q11" i="39"/>
  <c r="N11" i="39"/>
  <c r="AB10" i="39"/>
  <c r="AA10" i="39"/>
  <c r="Z10" i="39"/>
  <c r="Y10" i="39"/>
  <c r="X10" i="39"/>
  <c r="W10" i="39"/>
  <c r="V10" i="39"/>
  <c r="U10" i="39"/>
  <c r="T10" i="39"/>
  <c r="S10" i="39"/>
  <c r="R10" i="39"/>
  <c r="Q10" i="39"/>
  <c r="N10" i="39"/>
  <c r="AB9" i="39"/>
  <c r="AA9" i="39"/>
  <c r="Z9" i="39"/>
  <c r="Y9" i="39"/>
  <c r="X9" i="39"/>
  <c r="W9" i="39"/>
  <c r="V9" i="39"/>
  <c r="U9" i="39"/>
  <c r="T9" i="39"/>
  <c r="S9" i="39"/>
  <c r="R9" i="39"/>
  <c r="Q9" i="39"/>
  <c r="N9" i="39"/>
  <c r="AB8" i="39"/>
  <c r="AA8" i="39"/>
  <c r="Z8" i="39"/>
  <c r="Y8" i="39"/>
  <c r="X8" i="39"/>
  <c r="W8" i="39"/>
  <c r="V8" i="39"/>
  <c r="U8" i="39"/>
  <c r="T8" i="39"/>
  <c r="S8" i="39"/>
  <c r="R8" i="39"/>
  <c r="Q8" i="39"/>
  <c r="N8" i="39"/>
  <c r="AB7" i="39"/>
  <c r="AA7" i="39"/>
  <c r="Z7" i="39"/>
  <c r="Y7" i="39"/>
  <c r="X7" i="39"/>
  <c r="W7" i="39"/>
  <c r="V7" i="39"/>
  <c r="U7" i="39"/>
  <c r="T7" i="39"/>
  <c r="S7" i="39"/>
  <c r="R7" i="39"/>
  <c r="Q7" i="39"/>
  <c r="N7" i="39"/>
  <c r="AB6" i="39"/>
  <c r="AA6" i="39"/>
  <c r="Z6" i="39"/>
  <c r="Y6" i="39"/>
  <c r="X6" i="39"/>
  <c r="W6" i="39"/>
  <c r="V6" i="39"/>
  <c r="U6" i="39"/>
  <c r="T6" i="39"/>
  <c r="S6" i="39"/>
  <c r="R6" i="39"/>
  <c r="Q6" i="39"/>
  <c r="N6" i="39"/>
  <c r="AB5" i="39"/>
  <c r="AA5" i="39"/>
  <c r="Z5" i="39"/>
  <c r="Y5" i="39"/>
  <c r="X5" i="39"/>
  <c r="W5" i="39"/>
  <c r="V5" i="39"/>
  <c r="U5" i="39"/>
  <c r="T5" i="39"/>
  <c r="S5" i="39"/>
  <c r="R5" i="39"/>
  <c r="Q5" i="39"/>
  <c r="N5" i="39"/>
  <c r="AB4" i="39"/>
  <c r="AA4" i="39"/>
  <c r="Z4" i="39"/>
  <c r="Y4" i="39"/>
  <c r="X4" i="39"/>
  <c r="W4" i="39"/>
  <c r="V4" i="39"/>
  <c r="U4" i="39"/>
  <c r="T4" i="39"/>
  <c r="S4" i="39"/>
  <c r="R4" i="39"/>
  <c r="Q4" i="39"/>
  <c r="N4" i="39"/>
  <c r="P2" i="39"/>
  <c r="B2" i="39"/>
  <c r="C28" i="38"/>
  <c r="D29" i="38"/>
  <c r="F28" i="38"/>
  <c r="D27" i="38"/>
  <c r="F26" i="38"/>
  <c r="I16" i="38"/>
  <c r="D25" i="38"/>
  <c r="F11" i="38"/>
  <c r="F10" i="38"/>
  <c r="F9" i="38"/>
  <c r="F8" i="38"/>
  <c r="F7" i="38"/>
  <c r="X31" i="39" l="1"/>
  <c r="R16" i="39"/>
  <c r="V16" i="39"/>
  <c r="Z16" i="39"/>
  <c r="AB31" i="39"/>
  <c r="W31" i="39"/>
  <c r="AA31" i="39"/>
  <c r="R46" i="39"/>
  <c r="V46" i="39"/>
  <c r="Z46" i="39"/>
  <c r="I20" i="38"/>
  <c r="B29" i="38"/>
  <c r="H29" i="38" s="1"/>
  <c r="E25" i="38"/>
  <c r="E29" i="38"/>
  <c r="C26" i="38"/>
  <c r="E27" i="38"/>
  <c r="S31" i="39"/>
  <c r="R31" i="39"/>
  <c r="AB46" i="39"/>
  <c r="F25" i="38"/>
  <c r="F27" i="38"/>
  <c r="F29" i="38"/>
  <c r="T31" i="39"/>
  <c r="R76" i="39"/>
  <c r="V76" i="39"/>
  <c r="Z76" i="39"/>
  <c r="R6" i="41"/>
  <c r="W7" i="41"/>
  <c r="AA7" i="41"/>
  <c r="R9" i="41"/>
  <c r="F29" i="42"/>
  <c r="G32" i="42"/>
  <c r="F33" i="42"/>
  <c r="H32" i="42"/>
  <c r="G33" i="42"/>
  <c r="S76" i="39"/>
  <c r="AA76" i="39"/>
  <c r="G29" i="42"/>
  <c r="I18" i="38"/>
  <c r="B25" i="38"/>
  <c r="H25" i="38" s="1"/>
  <c r="B27" i="38"/>
  <c r="H27" i="38" s="1"/>
  <c r="S16" i="39"/>
  <c r="W16" i="39"/>
  <c r="AA16" i="39"/>
  <c r="Q16" i="39"/>
  <c r="U16" i="39"/>
  <c r="Y16" i="39"/>
  <c r="X16" i="39"/>
  <c r="AB16" i="39"/>
  <c r="T16" i="39"/>
  <c r="V31" i="39"/>
  <c r="Q31" i="39"/>
  <c r="U31" i="39"/>
  <c r="Z31" i="39"/>
  <c r="Y31" i="39"/>
  <c r="S46" i="39"/>
  <c r="W46" i="39"/>
  <c r="AA46" i="39"/>
  <c r="Q46" i="39"/>
  <c r="U46" i="39"/>
  <c r="Y46" i="39"/>
  <c r="T46" i="39"/>
  <c r="R5" i="41"/>
  <c r="AA8" i="41"/>
  <c r="R10" i="41"/>
  <c r="C9" i="42"/>
  <c r="C13" i="42"/>
  <c r="B29" i="42"/>
  <c r="J29" i="42"/>
  <c r="C32" i="42"/>
  <c r="B33" i="42"/>
  <c r="J33" i="42"/>
  <c r="W76" i="39"/>
  <c r="AA5" i="41"/>
  <c r="W6" i="41"/>
  <c r="R7" i="41"/>
  <c r="W8" i="41"/>
  <c r="C10" i="42"/>
  <c r="C29" i="42"/>
  <c r="B30" i="42"/>
  <c r="D32" i="42"/>
  <c r="C33" i="42"/>
  <c r="Q76" i="39"/>
  <c r="D28" i="38"/>
  <c r="E31" i="42"/>
  <c r="I17" i="38"/>
  <c r="I19" i="38"/>
  <c r="C25" i="38"/>
  <c r="E26" i="38"/>
  <c r="C27" i="38"/>
  <c r="E28" i="38"/>
  <c r="C29" i="38"/>
  <c r="T5" i="41"/>
  <c r="X5" i="41"/>
  <c r="AB5" i="41"/>
  <c r="Q8" i="41"/>
  <c r="U8" i="41"/>
  <c r="Y8" i="41"/>
  <c r="AC8" i="41"/>
  <c r="T9" i="41"/>
  <c r="X9" i="41"/>
  <c r="AB9" i="41"/>
  <c r="D29" i="42"/>
  <c r="H29" i="42"/>
  <c r="C30" i="42"/>
  <c r="G30" i="42"/>
  <c r="B31" i="42"/>
  <c r="F31" i="42"/>
  <c r="J31" i="42"/>
  <c r="E32" i="42"/>
  <c r="I32" i="42"/>
  <c r="D33" i="42"/>
  <c r="H33" i="42"/>
  <c r="D26" i="38"/>
  <c r="I31" i="42"/>
  <c r="B26" i="38"/>
  <c r="H26" i="38" s="1"/>
  <c r="B28" i="38"/>
  <c r="H28" i="38" s="1"/>
  <c r="Q5" i="41"/>
  <c r="U5" i="41"/>
  <c r="Y5" i="41"/>
  <c r="AC5" i="41"/>
  <c r="T6" i="41"/>
  <c r="X6" i="41"/>
  <c r="AB6" i="41"/>
  <c r="Q9" i="41"/>
  <c r="U9" i="41"/>
  <c r="Y9" i="41"/>
  <c r="AC9" i="41"/>
  <c r="E29" i="42"/>
  <c r="D30" i="42"/>
  <c r="H30" i="42"/>
  <c r="C31" i="42"/>
  <c r="G31" i="42"/>
  <c r="B32" i="42"/>
  <c r="F32" i="42"/>
  <c r="E33" i="42"/>
  <c r="Q6" i="41"/>
  <c r="U6" i="41"/>
  <c r="Y6" i="41"/>
  <c r="AC6" i="41"/>
  <c r="E30" i="42"/>
  <c r="D31" i="42"/>
  <c r="D5" i="12"/>
  <c r="D6" i="12" s="1"/>
  <c r="D21" i="9"/>
  <c r="S20" i="9" s="1"/>
  <c r="S19" i="9"/>
  <c r="S17" i="9"/>
  <c r="S15" i="9"/>
  <c r="S14" i="9"/>
  <c r="D8" i="9"/>
  <c r="F31" i="8"/>
  <c r="U10" i="8" s="1"/>
  <c r="D31" i="8"/>
  <c r="D35" i="7"/>
  <c r="AH9" i="7" s="1"/>
  <c r="AH7" i="7"/>
  <c r="S34" i="7"/>
  <c r="S32" i="7"/>
  <c r="S29" i="7"/>
  <c r="S26" i="7"/>
  <c r="S24" i="7"/>
  <c r="S22" i="7"/>
  <c r="S20" i="7"/>
  <c r="S18" i="7"/>
  <c r="S16" i="7"/>
  <c r="S14" i="7"/>
  <c r="S12" i="7"/>
  <c r="S10" i="7"/>
  <c r="S8" i="7"/>
  <c r="S6" i="7"/>
  <c r="D27" i="5"/>
  <c r="S26" i="5" s="1"/>
  <c r="S24" i="5"/>
  <c r="S21" i="5"/>
  <c r="S19" i="5"/>
  <c r="S16" i="5"/>
  <c r="S14" i="5"/>
  <c r="S12" i="5"/>
  <c r="S10" i="5"/>
  <c r="S8" i="5"/>
  <c r="S6" i="5"/>
  <c r="D11" i="4"/>
  <c r="S10" i="4" s="1"/>
  <c r="S7" i="4"/>
  <c r="D20" i="2"/>
  <c r="S16" i="2" s="1"/>
  <c r="B9" i="35"/>
  <c r="C9" i="35"/>
  <c r="I7" i="35"/>
  <c r="C22" i="35" s="1"/>
  <c r="D9" i="35"/>
  <c r="J7" i="35"/>
  <c r="D22" i="35" s="1"/>
  <c r="E9" i="35"/>
  <c r="F9" i="35"/>
  <c r="I8" i="35"/>
  <c r="C23" i="35" s="1"/>
  <c r="J8" i="35"/>
  <c r="D23" i="35"/>
  <c r="I6" i="35"/>
  <c r="C21" i="35" s="1"/>
  <c r="J6" i="35"/>
  <c r="D21" i="35"/>
  <c r="Q39" i="33"/>
  <c r="K54" i="33" s="1"/>
  <c r="R39" i="33"/>
  <c r="L54" i="33" s="1"/>
  <c r="S39" i="33"/>
  <c r="M54" i="33"/>
  <c r="T39" i="33"/>
  <c r="N54" i="33" s="1"/>
  <c r="O54" i="33"/>
  <c r="P39" i="33"/>
  <c r="J54" i="33" s="1"/>
  <c r="Q37" i="33"/>
  <c r="K53" i="33" s="1"/>
  <c r="R37" i="33"/>
  <c r="L53" i="33" s="1"/>
  <c r="S37" i="33"/>
  <c r="M53" i="33"/>
  <c r="T37" i="33"/>
  <c r="N53" i="33" s="1"/>
  <c r="O53" i="33"/>
  <c r="P37" i="33"/>
  <c r="J53" i="33"/>
  <c r="Q35" i="33"/>
  <c r="K52" i="33" s="1"/>
  <c r="R35" i="33"/>
  <c r="L52" i="33" s="1"/>
  <c r="S35" i="33"/>
  <c r="M52" i="33" s="1"/>
  <c r="T35" i="33"/>
  <c r="N52" i="33"/>
  <c r="O52" i="33"/>
  <c r="P35" i="33"/>
  <c r="J52" i="33" s="1"/>
  <c r="U70" i="30"/>
  <c r="T70" i="30"/>
  <c r="S70" i="30"/>
  <c r="R70" i="30"/>
  <c r="Q70" i="30"/>
  <c r="P70" i="30"/>
  <c r="U69" i="30"/>
  <c r="T69" i="30"/>
  <c r="S69" i="30"/>
  <c r="R69" i="30"/>
  <c r="Q69" i="30"/>
  <c r="P69" i="30"/>
  <c r="U68" i="30"/>
  <c r="T68" i="30"/>
  <c r="S68" i="30"/>
  <c r="R68" i="30"/>
  <c r="Q68" i="30"/>
  <c r="P68" i="30"/>
  <c r="U67" i="30"/>
  <c r="T67" i="30"/>
  <c r="S67" i="30"/>
  <c r="R67" i="30"/>
  <c r="Q67" i="30"/>
  <c r="P67" i="30"/>
  <c r="U65" i="30"/>
  <c r="T65" i="30"/>
  <c r="S65" i="30"/>
  <c r="R65" i="30"/>
  <c r="Q65" i="30"/>
  <c r="P65" i="30"/>
  <c r="U64" i="30"/>
  <c r="T64" i="30"/>
  <c r="S64" i="30"/>
  <c r="R64" i="30"/>
  <c r="Q64" i="30"/>
  <c r="P64" i="30"/>
  <c r="U63" i="30"/>
  <c r="T63" i="30"/>
  <c r="S63" i="30"/>
  <c r="R63" i="30"/>
  <c r="Q63" i="30"/>
  <c r="P63" i="30"/>
  <c r="U62" i="30"/>
  <c r="T62" i="30"/>
  <c r="S62" i="30"/>
  <c r="R62" i="30"/>
  <c r="Q62" i="30"/>
  <c r="P62" i="30"/>
  <c r="U60" i="30"/>
  <c r="T60" i="30"/>
  <c r="S60" i="30"/>
  <c r="R60" i="30"/>
  <c r="Q60" i="30"/>
  <c r="P60" i="30"/>
  <c r="U59" i="30"/>
  <c r="T59" i="30"/>
  <c r="S59" i="30"/>
  <c r="R59" i="30"/>
  <c r="Q59" i="30"/>
  <c r="P59" i="30"/>
  <c r="U58" i="30"/>
  <c r="T58" i="30"/>
  <c r="S58" i="30"/>
  <c r="R58" i="30"/>
  <c r="Q58" i="30"/>
  <c r="P58" i="30"/>
  <c r="U57" i="30"/>
  <c r="T57" i="30"/>
  <c r="S57" i="30"/>
  <c r="R57" i="30"/>
  <c r="Q57" i="30"/>
  <c r="P57" i="30"/>
  <c r="U53" i="30"/>
  <c r="T53" i="30"/>
  <c r="S53" i="30"/>
  <c r="R53" i="30"/>
  <c r="Q53" i="30"/>
  <c r="P53" i="30"/>
  <c r="U52" i="30"/>
  <c r="T52" i="30"/>
  <c r="S52" i="30"/>
  <c r="R52" i="30"/>
  <c r="Q52" i="30"/>
  <c r="P52" i="30"/>
  <c r="U51" i="30"/>
  <c r="T51" i="30"/>
  <c r="S51" i="30"/>
  <c r="R51" i="30"/>
  <c r="Q51" i="30"/>
  <c r="P51" i="30"/>
  <c r="U50" i="30"/>
  <c r="T50" i="30"/>
  <c r="S50" i="30"/>
  <c r="R50" i="30"/>
  <c r="Q50" i="30"/>
  <c r="P50" i="30"/>
  <c r="U47" i="30"/>
  <c r="T47" i="30"/>
  <c r="S47" i="30"/>
  <c r="R47" i="30"/>
  <c r="Q47" i="30"/>
  <c r="P47" i="30"/>
  <c r="U46" i="30"/>
  <c r="T46" i="30"/>
  <c r="S46" i="30"/>
  <c r="R46" i="30"/>
  <c r="Q46" i="30"/>
  <c r="P46" i="30"/>
  <c r="U45" i="30"/>
  <c r="T45" i="30"/>
  <c r="S45" i="30"/>
  <c r="R45" i="30"/>
  <c r="Q45" i="30"/>
  <c r="P45" i="30"/>
  <c r="U44" i="30"/>
  <c r="T44" i="30"/>
  <c r="S44" i="30"/>
  <c r="R44" i="30"/>
  <c r="Q44" i="30"/>
  <c r="P44" i="30"/>
  <c r="U41" i="30"/>
  <c r="T41" i="30"/>
  <c r="S41" i="30"/>
  <c r="R41" i="30"/>
  <c r="Q41" i="30"/>
  <c r="P41" i="30"/>
  <c r="U40" i="30"/>
  <c r="T40" i="30"/>
  <c r="S40" i="30"/>
  <c r="R40" i="30"/>
  <c r="Q40" i="30"/>
  <c r="P40" i="30"/>
  <c r="U39" i="30"/>
  <c r="T39" i="30"/>
  <c r="S39" i="30"/>
  <c r="R39" i="30"/>
  <c r="Q39" i="30"/>
  <c r="P39" i="30"/>
  <c r="U38" i="30"/>
  <c r="T38" i="30"/>
  <c r="S38" i="30"/>
  <c r="R38" i="30"/>
  <c r="Q38" i="30"/>
  <c r="P38" i="30"/>
  <c r="M23" i="29"/>
  <c r="M19" i="29"/>
  <c r="N23" i="29"/>
  <c r="L23" i="29"/>
  <c r="K23" i="29"/>
  <c r="J23" i="29"/>
  <c r="I23" i="29"/>
  <c r="N20" i="29"/>
  <c r="M20" i="29"/>
  <c r="L20" i="29"/>
  <c r="K20" i="29"/>
  <c r="J20" i="29"/>
  <c r="I20" i="29"/>
  <c r="N19" i="29"/>
  <c r="L19" i="29"/>
  <c r="K19" i="29"/>
  <c r="J19" i="29"/>
  <c r="I19" i="29"/>
  <c r="N16" i="29"/>
  <c r="M16" i="29"/>
  <c r="L16" i="29"/>
  <c r="K16" i="29"/>
  <c r="J16" i="29"/>
  <c r="I16" i="29"/>
  <c r="N13" i="29"/>
  <c r="M13" i="29"/>
  <c r="L13" i="29"/>
  <c r="K13" i="29"/>
  <c r="J13" i="29"/>
  <c r="I13" i="29"/>
  <c r="N12" i="29"/>
  <c r="M12" i="29"/>
  <c r="L12" i="29"/>
  <c r="K12" i="29"/>
  <c r="J12" i="29"/>
  <c r="I12" i="29"/>
  <c r="N9" i="29"/>
  <c r="M9" i="29"/>
  <c r="L9" i="29"/>
  <c r="K9" i="29"/>
  <c r="J9" i="29"/>
  <c r="I9" i="29"/>
  <c r="N8" i="29"/>
  <c r="M8" i="29"/>
  <c r="L8" i="29"/>
  <c r="K8" i="29"/>
  <c r="J8" i="29"/>
  <c r="I8" i="29"/>
  <c r="AB45" i="26"/>
  <c r="AB44" i="26"/>
  <c r="AB43" i="26"/>
  <c r="AB42" i="26"/>
  <c r="AB41" i="26"/>
  <c r="AB40" i="26"/>
  <c r="AB39" i="26"/>
  <c r="AB38" i="26"/>
  <c r="AB37" i="26"/>
  <c r="AB36" i="26"/>
  <c r="AB35" i="26"/>
  <c r="AB34" i="26"/>
  <c r="AA45" i="26"/>
  <c r="AA44" i="26"/>
  <c r="AA43" i="26"/>
  <c r="AA42" i="26"/>
  <c r="AA41" i="26"/>
  <c r="AA40" i="26"/>
  <c r="AA39" i="26"/>
  <c r="AA38" i="26"/>
  <c r="AA37" i="26"/>
  <c r="AA36" i="26"/>
  <c r="AA35" i="26"/>
  <c r="AA34" i="26"/>
  <c r="Z45" i="26"/>
  <c r="Z44" i="26"/>
  <c r="Z43" i="26"/>
  <c r="Z42" i="26"/>
  <c r="Z41" i="26"/>
  <c r="Z40" i="26"/>
  <c r="Z39" i="26"/>
  <c r="Z38" i="26"/>
  <c r="Z37" i="26"/>
  <c r="Z36" i="26"/>
  <c r="Z35" i="26"/>
  <c r="Z34" i="26"/>
  <c r="Y45" i="26"/>
  <c r="Y44" i="26"/>
  <c r="Y43" i="26"/>
  <c r="Y42" i="26"/>
  <c r="Y41" i="26"/>
  <c r="Y40" i="26"/>
  <c r="Y39" i="26"/>
  <c r="Y38" i="26"/>
  <c r="Y37" i="26"/>
  <c r="Y36" i="26"/>
  <c r="Y35" i="26"/>
  <c r="Y34" i="26"/>
  <c r="X45" i="26"/>
  <c r="X44" i="26"/>
  <c r="X43" i="26"/>
  <c r="X42" i="26"/>
  <c r="X41" i="26"/>
  <c r="X40" i="26"/>
  <c r="X39" i="26"/>
  <c r="X38" i="26"/>
  <c r="X37" i="26"/>
  <c r="X36" i="26"/>
  <c r="X35" i="26"/>
  <c r="X34" i="26"/>
  <c r="W45" i="26"/>
  <c r="W44" i="26"/>
  <c r="W43" i="26"/>
  <c r="W42" i="26"/>
  <c r="W41" i="26"/>
  <c r="W40" i="26"/>
  <c r="W39" i="26"/>
  <c r="W38" i="26"/>
  <c r="W37" i="26"/>
  <c r="W36" i="26"/>
  <c r="W35" i="26"/>
  <c r="W34" i="26"/>
  <c r="V45" i="26"/>
  <c r="V44" i="26"/>
  <c r="V43" i="26"/>
  <c r="V42" i="26"/>
  <c r="V41" i="26"/>
  <c r="V40" i="26"/>
  <c r="V39" i="26"/>
  <c r="V38" i="26"/>
  <c r="V37" i="26"/>
  <c r="V36" i="26"/>
  <c r="V35" i="26"/>
  <c r="V34" i="26"/>
  <c r="U45" i="26"/>
  <c r="U44" i="26"/>
  <c r="U43" i="26"/>
  <c r="U42" i="26"/>
  <c r="U41" i="26"/>
  <c r="U40" i="26"/>
  <c r="U39" i="26"/>
  <c r="U38" i="26"/>
  <c r="U37" i="26"/>
  <c r="U36" i="26"/>
  <c r="U35" i="26"/>
  <c r="U34" i="26"/>
  <c r="T45" i="26"/>
  <c r="T44" i="26"/>
  <c r="T43" i="26"/>
  <c r="T42" i="26"/>
  <c r="T41" i="26"/>
  <c r="T40" i="26"/>
  <c r="T39" i="26"/>
  <c r="T38" i="26"/>
  <c r="T37" i="26"/>
  <c r="T36" i="26"/>
  <c r="T35" i="26"/>
  <c r="T34" i="26"/>
  <c r="S45" i="26"/>
  <c r="S44" i="26"/>
  <c r="S43" i="26"/>
  <c r="S42" i="26"/>
  <c r="S41" i="26"/>
  <c r="S40" i="26"/>
  <c r="S39" i="26"/>
  <c r="S38" i="26"/>
  <c r="S37" i="26"/>
  <c r="S36" i="26"/>
  <c r="S35" i="26"/>
  <c r="S34" i="26"/>
  <c r="R45" i="26"/>
  <c r="R44" i="26"/>
  <c r="R43" i="26"/>
  <c r="R42" i="26"/>
  <c r="R41" i="26"/>
  <c r="R40" i="26"/>
  <c r="R39" i="26"/>
  <c r="R38" i="26"/>
  <c r="R37" i="26"/>
  <c r="R36" i="26"/>
  <c r="R35" i="26"/>
  <c r="R34" i="26"/>
  <c r="Q45" i="26"/>
  <c r="Q44" i="26"/>
  <c r="Q43" i="26"/>
  <c r="Q42" i="26"/>
  <c r="Q41" i="26"/>
  <c r="Q40" i="26"/>
  <c r="Q39" i="26"/>
  <c r="Q38" i="26"/>
  <c r="Q37" i="26"/>
  <c r="Q36" i="26"/>
  <c r="Q35" i="26"/>
  <c r="Q34" i="26"/>
  <c r="AB30" i="26"/>
  <c r="AB29" i="26"/>
  <c r="AB27" i="26"/>
  <c r="AB26" i="26"/>
  <c r="AB25" i="26"/>
  <c r="AB22" i="26"/>
  <c r="AB19" i="26"/>
  <c r="AA30" i="26"/>
  <c r="AA29" i="26"/>
  <c r="AA28" i="26"/>
  <c r="AA27" i="26"/>
  <c r="AA25" i="26"/>
  <c r="AA22" i="26"/>
  <c r="AA21" i="26"/>
  <c r="AA20" i="26"/>
  <c r="Z29" i="26"/>
  <c r="Z28" i="26"/>
  <c r="Z27" i="26"/>
  <c r="Z25" i="26"/>
  <c r="Z22" i="26"/>
  <c r="Z21" i="26"/>
  <c r="Z20" i="26"/>
  <c r="Y30" i="26"/>
  <c r="Y29" i="26"/>
  <c r="Y28" i="26"/>
  <c r="Y27" i="26"/>
  <c r="Y26" i="26"/>
  <c r="Y25" i="26"/>
  <c r="Y24" i="26"/>
  <c r="Y23" i="26"/>
  <c r="Y22" i="26"/>
  <c r="Y21" i="26"/>
  <c r="Y20" i="26"/>
  <c r="Y19" i="26"/>
  <c r="W30" i="26"/>
  <c r="W29" i="26"/>
  <c r="W28" i="26"/>
  <c r="W27" i="26"/>
  <c r="W26" i="26"/>
  <c r="W25" i="26"/>
  <c r="W23" i="26"/>
  <c r="W22" i="26"/>
  <c r="W21" i="26"/>
  <c r="W20" i="26"/>
  <c r="V27" i="26"/>
  <c r="V26" i="26"/>
  <c r="V24" i="26"/>
  <c r="V23" i="26"/>
  <c r="V22" i="26"/>
  <c r="V21" i="26"/>
  <c r="V20" i="26"/>
  <c r="V19" i="26"/>
  <c r="U27" i="26"/>
  <c r="U26" i="26"/>
  <c r="U25" i="26"/>
  <c r="U24" i="26"/>
  <c r="U23" i="26"/>
  <c r="U22" i="26"/>
  <c r="U21" i="26"/>
  <c r="U20" i="26"/>
  <c r="U19" i="26"/>
  <c r="T30" i="26"/>
  <c r="T29" i="26"/>
  <c r="T28" i="26"/>
  <c r="T27" i="26"/>
  <c r="T26" i="26"/>
  <c r="T25" i="26"/>
  <c r="T24" i="26"/>
  <c r="T23" i="26"/>
  <c r="T22" i="26"/>
  <c r="T21" i="26"/>
  <c r="T20" i="26"/>
  <c r="T19" i="26"/>
  <c r="S29" i="26"/>
  <c r="S28" i="26"/>
  <c r="S27" i="26"/>
  <c r="S26" i="26"/>
  <c r="S25" i="26"/>
  <c r="S24" i="26"/>
  <c r="S23" i="26"/>
  <c r="S22" i="26"/>
  <c r="S21" i="26"/>
  <c r="S20" i="26"/>
  <c r="S19" i="26"/>
  <c r="R29" i="26"/>
  <c r="R28" i="26"/>
  <c r="R27" i="26"/>
  <c r="R26" i="26"/>
  <c r="R25" i="26"/>
  <c r="R24" i="26"/>
  <c r="R23" i="26"/>
  <c r="R22" i="26"/>
  <c r="R21" i="26"/>
  <c r="R20" i="26"/>
  <c r="R19" i="26"/>
  <c r="Q30" i="26"/>
  <c r="Q27" i="26"/>
  <c r="Q26" i="26"/>
  <c r="Q24" i="26"/>
  <c r="Q23" i="26"/>
  <c r="Q22" i="26"/>
  <c r="Q21" i="26"/>
  <c r="Q20" i="26"/>
  <c r="Q19" i="26"/>
  <c r="S5" i="26"/>
  <c r="T5" i="26"/>
  <c r="V8" i="26"/>
  <c r="W8" i="26"/>
  <c r="AB15" i="26"/>
  <c r="AB14" i="26"/>
  <c r="AB13" i="26"/>
  <c r="AB12" i="26"/>
  <c r="AB11" i="26"/>
  <c r="AB10" i="26"/>
  <c r="AB9" i="26"/>
  <c r="AB8" i="26"/>
  <c r="AB7" i="26"/>
  <c r="AB6" i="26"/>
  <c r="AB5" i="26"/>
  <c r="AB4" i="26"/>
  <c r="AA15" i="26"/>
  <c r="AA14" i="26"/>
  <c r="AA13" i="26"/>
  <c r="AA12" i="26"/>
  <c r="AA11" i="26"/>
  <c r="AA10" i="26"/>
  <c r="AA9" i="26"/>
  <c r="AA8" i="26"/>
  <c r="AA7" i="26"/>
  <c r="AA6" i="26"/>
  <c r="AA5" i="26"/>
  <c r="AA4" i="26"/>
  <c r="Z15" i="26"/>
  <c r="Z14" i="26"/>
  <c r="Z13" i="26"/>
  <c r="Z12" i="26"/>
  <c r="Z11" i="26"/>
  <c r="Z10" i="26"/>
  <c r="Z9" i="26"/>
  <c r="Z8" i="26"/>
  <c r="Z7" i="26"/>
  <c r="Z6" i="26"/>
  <c r="Z5" i="26"/>
  <c r="Z4" i="26"/>
  <c r="Y15" i="26"/>
  <c r="Y14" i="26"/>
  <c r="Y13" i="26"/>
  <c r="Y12" i="26"/>
  <c r="Y11" i="26"/>
  <c r="Y10" i="26"/>
  <c r="Y9" i="26"/>
  <c r="Y8" i="26"/>
  <c r="Y7" i="26"/>
  <c r="Y6" i="26"/>
  <c r="Y5" i="26"/>
  <c r="Y4" i="26"/>
  <c r="X15" i="26"/>
  <c r="X14" i="26"/>
  <c r="X13" i="26"/>
  <c r="X12" i="26"/>
  <c r="X11" i="26"/>
  <c r="X10" i="26"/>
  <c r="X9" i="26"/>
  <c r="X8" i="26"/>
  <c r="X7" i="26"/>
  <c r="X6" i="26"/>
  <c r="X5" i="26"/>
  <c r="X4" i="26"/>
  <c r="W15" i="26"/>
  <c r="W14" i="26"/>
  <c r="W13" i="26"/>
  <c r="W12" i="26"/>
  <c r="W11" i="26"/>
  <c r="W10" i="26"/>
  <c r="W9" i="26"/>
  <c r="W7" i="26"/>
  <c r="W6" i="26"/>
  <c r="W5" i="26"/>
  <c r="W4" i="26"/>
  <c r="V15" i="26"/>
  <c r="V14" i="26"/>
  <c r="V13" i="26"/>
  <c r="V12" i="26"/>
  <c r="V11" i="26"/>
  <c r="V10" i="26"/>
  <c r="V9" i="26"/>
  <c r="V7" i="26"/>
  <c r="V6" i="26"/>
  <c r="V5" i="26"/>
  <c r="V4" i="26"/>
  <c r="U15" i="26"/>
  <c r="U14" i="26"/>
  <c r="U13" i="26"/>
  <c r="U12" i="26"/>
  <c r="U11" i="26"/>
  <c r="U10" i="26"/>
  <c r="U9" i="26"/>
  <c r="U8" i="26"/>
  <c r="U7" i="26"/>
  <c r="U6" i="26"/>
  <c r="U5" i="26"/>
  <c r="U4" i="26"/>
  <c r="T15" i="26"/>
  <c r="T14" i="26"/>
  <c r="T13" i="26"/>
  <c r="T12" i="26"/>
  <c r="T11" i="26"/>
  <c r="T10" i="26"/>
  <c r="T9" i="26"/>
  <c r="T8" i="26"/>
  <c r="T7" i="26"/>
  <c r="T6" i="26"/>
  <c r="T4" i="26"/>
  <c r="S15" i="26"/>
  <c r="S14" i="26"/>
  <c r="S13" i="26"/>
  <c r="S12" i="26"/>
  <c r="S11" i="26"/>
  <c r="S10" i="26"/>
  <c r="S9" i="26"/>
  <c r="S8" i="26"/>
  <c r="S7" i="26"/>
  <c r="S6" i="26"/>
  <c r="S4" i="26"/>
  <c r="R15" i="26"/>
  <c r="R14" i="26"/>
  <c r="R13" i="26"/>
  <c r="R12" i="26"/>
  <c r="R11" i="26"/>
  <c r="R10" i="26"/>
  <c r="R9" i="26"/>
  <c r="R8" i="26"/>
  <c r="R7" i="26"/>
  <c r="R6" i="26"/>
  <c r="R5" i="26"/>
  <c r="R4" i="26"/>
  <c r="Q15" i="26"/>
  <c r="Q14" i="26"/>
  <c r="Q13" i="26"/>
  <c r="Q12" i="26"/>
  <c r="Q11" i="26"/>
  <c r="Q10" i="26"/>
  <c r="Q9" i="26"/>
  <c r="Q8" i="26"/>
  <c r="Q7" i="26"/>
  <c r="Q6" i="26"/>
  <c r="Q5" i="26"/>
  <c r="Q4" i="26"/>
  <c r="B159" i="26"/>
  <c r="B145" i="26"/>
  <c r="B131" i="26"/>
  <c r="B117" i="26"/>
  <c r="B103" i="26"/>
  <c r="B89" i="26"/>
  <c r="B75" i="26"/>
  <c r="B61" i="26"/>
  <c r="B47" i="26"/>
  <c r="M46" i="26"/>
  <c r="L46" i="26"/>
  <c r="K46" i="26"/>
  <c r="J46" i="26"/>
  <c r="I46" i="26"/>
  <c r="H46" i="26"/>
  <c r="G46" i="26"/>
  <c r="F46" i="26"/>
  <c r="E46" i="26"/>
  <c r="D46" i="26"/>
  <c r="C46" i="26"/>
  <c r="B46" i="26"/>
  <c r="N45" i="26"/>
  <c r="N44" i="26"/>
  <c r="N43" i="26"/>
  <c r="N42" i="26"/>
  <c r="N41" i="26"/>
  <c r="N40" i="26"/>
  <c r="N39" i="26"/>
  <c r="N38" i="26"/>
  <c r="N37" i="26"/>
  <c r="N36" i="26"/>
  <c r="N35" i="26"/>
  <c r="N34" i="26"/>
  <c r="B32" i="26"/>
  <c r="M31" i="26"/>
  <c r="L31" i="26"/>
  <c r="K31" i="26"/>
  <c r="J31" i="26"/>
  <c r="I31" i="26"/>
  <c r="H31" i="26"/>
  <c r="G31" i="26"/>
  <c r="F31" i="26"/>
  <c r="E31" i="26"/>
  <c r="D31" i="26"/>
  <c r="C31" i="26"/>
  <c r="B31" i="26"/>
  <c r="X30" i="26"/>
  <c r="N30" i="26"/>
  <c r="N29" i="26"/>
  <c r="N28" i="26"/>
  <c r="X27" i="26"/>
  <c r="N27" i="26"/>
  <c r="X26" i="26"/>
  <c r="N26" i="26"/>
  <c r="X25" i="26"/>
  <c r="N25" i="26"/>
  <c r="X24" i="26"/>
  <c r="N24" i="26"/>
  <c r="X23" i="26"/>
  <c r="N23" i="26"/>
  <c r="X22" i="26"/>
  <c r="N22" i="26"/>
  <c r="X21" i="26"/>
  <c r="N21" i="26"/>
  <c r="X20" i="26"/>
  <c r="N20" i="26"/>
  <c r="X19" i="26"/>
  <c r="N19" i="26"/>
  <c r="B17" i="26"/>
  <c r="M16" i="26"/>
  <c r="L16" i="26"/>
  <c r="K16" i="26"/>
  <c r="J16" i="26"/>
  <c r="I16" i="26"/>
  <c r="H16" i="26"/>
  <c r="G16" i="26"/>
  <c r="F16" i="26"/>
  <c r="E16" i="26"/>
  <c r="D16" i="26"/>
  <c r="C16" i="26"/>
  <c r="B16" i="26"/>
  <c r="N15" i="26"/>
  <c r="N14" i="26"/>
  <c r="N13" i="26"/>
  <c r="N12" i="26"/>
  <c r="N11" i="26"/>
  <c r="N10" i="26"/>
  <c r="N9" i="26"/>
  <c r="N8" i="26"/>
  <c r="N7" i="26"/>
  <c r="N6" i="26"/>
  <c r="N5" i="26"/>
  <c r="N4" i="26"/>
  <c r="P2" i="26"/>
  <c r="B2" i="26"/>
  <c r="Q15" i="25"/>
  <c r="Q14" i="25"/>
  <c r="Q13" i="25"/>
  <c r="Q12" i="25"/>
  <c r="Q11" i="25"/>
  <c r="Q10" i="25"/>
  <c r="Q9" i="25"/>
  <c r="Q8" i="25"/>
  <c r="Q7" i="25"/>
  <c r="Q6" i="25"/>
  <c r="Q5" i="25"/>
  <c r="Q4" i="25"/>
  <c r="AR4" i="7"/>
  <c r="AQ4" i="7"/>
  <c r="AP4" i="7"/>
  <c r="AO4" i="7"/>
  <c r="AN4" i="7"/>
  <c r="AM4" i="7"/>
  <c r="AL4" i="7"/>
  <c r="AK4" i="7"/>
  <c r="AI4" i="7"/>
  <c r="AG4" i="7"/>
  <c r="AF4" i="7"/>
  <c r="Q34" i="25"/>
  <c r="R34" i="25"/>
  <c r="S34" i="25"/>
  <c r="T34" i="25"/>
  <c r="U34" i="25"/>
  <c r="V34" i="25"/>
  <c r="W34" i="25"/>
  <c r="X34" i="25"/>
  <c r="Y34" i="25"/>
  <c r="Z34" i="25"/>
  <c r="AA34" i="25"/>
  <c r="AB35" i="25"/>
  <c r="AB36" i="25"/>
  <c r="AB37" i="25"/>
  <c r="AB38" i="25"/>
  <c r="AB39" i="25"/>
  <c r="AB40" i="25"/>
  <c r="AB41" i="25"/>
  <c r="AB42" i="25"/>
  <c r="AB43" i="25"/>
  <c r="AB44" i="25"/>
  <c r="AB45" i="25"/>
  <c r="AB34" i="25"/>
  <c r="AA36" i="25"/>
  <c r="AA37" i="25"/>
  <c r="AA38" i="25"/>
  <c r="AA39" i="25"/>
  <c r="AA40" i="25"/>
  <c r="AA41" i="25"/>
  <c r="AA42" i="25"/>
  <c r="AA43" i="25"/>
  <c r="AA44" i="25"/>
  <c r="AA45" i="25"/>
  <c r="AA35" i="25"/>
  <c r="Z36" i="25"/>
  <c r="Z37" i="25"/>
  <c r="Z38" i="25"/>
  <c r="Z39" i="25"/>
  <c r="Z40" i="25"/>
  <c r="Z41" i="25"/>
  <c r="Z42" i="25"/>
  <c r="Z43" i="25"/>
  <c r="Z44" i="25"/>
  <c r="Z45" i="25"/>
  <c r="Z35" i="25"/>
  <c r="Y35" i="25"/>
  <c r="Y36" i="25"/>
  <c r="Y37" i="25"/>
  <c r="Y38" i="25"/>
  <c r="Y39" i="25"/>
  <c r="Y40" i="25"/>
  <c r="Y41" i="25"/>
  <c r="Y42" i="25"/>
  <c r="Y43" i="25"/>
  <c r="Y44" i="25"/>
  <c r="Y45" i="25"/>
  <c r="X35" i="25"/>
  <c r="X36" i="25"/>
  <c r="X37" i="25"/>
  <c r="X38" i="25"/>
  <c r="X39" i="25"/>
  <c r="X40" i="25"/>
  <c r="X41" i="25"/>
  <c r="X42" i="25"/>
  <c r="X43" i="25"/>
  <c r="X44" i="25"/>
  <c r="X45" i="25"/>
  <c r="W36" i="25"/>
  <c r="W37" i="25"/>
  <c r="W38" i="25"/>
  <c r="W39" i="25"/>
  <c r="W40" i="25"/>
  <c r="W41" i="25"/>
  <c r="W42" i="25"/>
  <c r="W43" i="25"/>
  <c r="W44" i="25"/>
  <c r="W45" i="25"/>
  <c r="W35" i="25"/>
  <c r="V35" i="25"/>
  <c r="V36" i="25"/>
  <c r="V37" i="25"/>
  <c r="V38" i="25"/>
  <c r="V39" i="25"/>
  <c r="V40" i="25"/>
  <c r="V41" i="25"/>
  <c r="V42" i="25"/>
  <c r="V43" i="25"/>
  <c r="V44" i="25"/>
  <c r="V45" i="25"/>
  <c r="U35" i="25"/>
  <c r="U36" i="25"/>
  <c r="U37" i="25"/>
  <c r="U38" i="25"/>
  <c r="U39" i="25"/>
  <c r="U40" i="25"/>
  <c r="U41" i="25"/>
  <c r="U42" i="25"/>
  <c r="U43" i="25"/>
  <c r="U44" i="25"/>
  <c r="U45" i="25"/>
  <c r="T35" i="25"/>
  <c r="T36" i="25"/>
  <c r="T37" i="25"/>
  <c r="T38" i="25"/>
  <c r="T39" i="25"/>
  <c r="T40" i="25"/>
  <c r="T41" i="25"/>
  <c r="T42" i="25"/>
  <c r="T43" i="25"/>
  <c r="T44" i="25"/>
  <c r="T45" i="25"/>
  <c r="S35" i="25"/>
  <c r="S36" i="25"/>
  <c r="S37" i="25"/>
  <c r="S38" i="25"/>
  <c r="S39" i="25"/>
  <c r="S40" i="25"/>
  <c r="S41" i="25"/>
  <c r="S42" i="25"/>
  <c r="S43" i="25"/>
  <c r="S44" i="25"/>
  <c r="S45" i="25"/>
  <c r="R35" i="25"/>
  <c r="R36" i="25"/>
  <c r="R37" i="25"/>
  <c r="R38" i="25"/>
  <c r="R39" i="25"/>
  <c r="R40" i="25"/>
  <c r="R41" i="25"/>
  <c r="R42" i="25"/>
  <c r="R43" i="25"/>
  <c r="R44" i="25"/>
  <c r="R45" i="25"/>
  <c r="Q35" i="25"/>
  <c r="Q36" i="25"/>
  <c r="Q37" i="25"/>
  <c r="Q38" i="25"/>
  <c r="Q39" i="25"/>
  <c r="Q40" i="25"/>
  <c r="Q41" i="25"/>
  <c r="Q42" i="25"/>
  <c r="Q43" i="25"/>
  <c r="Q44" i="25"/>
  <c r="Q45" i="25"/>
  <c r="AB22" i="25"/>
  <c r="AB25" i="25"/>
  <c r="AB26" i="25"/>
  <c r="AB27" i="25"/>
  <c r="AB29" i="25"/>
  <c r="AB30" i="25"/>
  <c r="AB19" i="25"/>
  <c r="AA20" i="25"/>
  <c r="AA21" i="25"/>
  <c r="AA22" i="25"/>
  <c r="AA25" i="25"/>
  <c r="AA27" i="25"/>
  <c r="AA28" i="25"/>
  <c r="AA29" i="25"/>
  <c r="AA30" i="25"/>
  <c r="Z20" i="25"/>
  <c r="Z21" i="25"/>
  <c r="Z22" i="25"/>
  <c r="Z25" i="25"/>
  <c r="Z27" i="25"/>
  <c r="Z28" i="25"/>
  <c r="Z29" i="25"/>
  <c r="Y20" i="25"/>
  <c r="Y21" i="25"/>
  <c r="Y22" i="25"/>
  <c r="Y23" i="25"/>
  <c r="Y24" i="25"/>
  <c r="Y25" i="25"/>
  <c r="Y26" i="25"/>
  <c r="Y27" i="25"/>
  <c r="Y28" i="25"/>
  <c r="Y29" i="25"/>
  <c r="Y30" i="25"/>
  <c r="Y19" i="25"/>
  <c r="X20" i="25"/>
  <c r="X21" i="25"/>
  <c r="X22" i="25"/>
  <c r="X23" i="25"/>
  <c r="X24" i="25"/>
  <c r="X25" i="25"/>
  <c r="X26" i="25"/>
  <c r="X27" i="25"/>
  <c r="X30" i="25"/>
  <c r="X19" i="25"/>
  <c r="W20" i="25"/>
  <c r="W21" i="25"/>
  <c r="W22" i="25"/>
  <c r="W23" i="25"/>
  <c r="W25" i="25"/>
  <c r="W26" i="25"/>
  <c r="W27" i="25"/>
  <c r="W28" i="25"/>
  <c r="W29" i="25"/>
  <c r="W30" i="25"/>
  <c r="V20" i="25"/>
  <c r="V21" i="25"/>
  <c r="V22" i="25"/>
  <c r="V23" i="25"/>
  <c r="V24" i="25"/>
  <c r="V26" i="25"/>
  <c r="V27" i="25"/>
  <c r="V19" i="25"/>
  <c r="U20" i="25"/>
  <c r="U21" i="25"/>
  <c r="U22" i="25"/>
  <c r="U23" i="25"/>
  <c r="U24" i="25"/>
  <c r="U25" i="25"/>
  <c r="U26" i="25"/>
  <c r="U27" i="25"/>
  <c r="U19" i="25"/>
  <c r="T20" i="25"/>
  <c r="T21" i="25"/>
  <c r="T22" i="25"/>
  <c r="T23" i="25"/>
  <c r="T24" i="25"/>
  <c r="T25" i="25"/>
  <c r="T26" i="25"/>
  <c r="T27" i="25"/>
  <c r="T28" i="25"/>
  <c r="T29" i="25"/>
  <c r="T30" i="25"/>
  <c r="T19" i="25"/>
  <c r="S20" i="25"/>
  <c r="S21" i="25"/>
  <c r="S22" i="25"/>
  <c r="S23" i="25"/>
  <c r="S24" i="25"/>
  <c r="S25" i="25"/>
  <c r="S26" i="25"/>
  <c r="S27" i="25"/>
  <c r="S28" i="25"/>
  <c r="S29" i="25"/>
  <c r="S19" i="25"/>
  <c r="R20" i="25"/>
  <c r="R21" i="25"/>
  <c r="R22" i="25"/>
  <c r="R23" i="25"/>
  <c r="R24" i="25"/>
  <c r="R25" i="25"/>
  <c r="R26" i="25"/>
  <c r="R27" i="25"/>
  <c r="R28" i="25"/>
  <c r="R29" i="25"/>
  <c r="R19" i="25"/>
  <c r="Q20" i="25"/>
  <c r="Q21" i="25"/>
  <c r="Q22" i="25"/>
  <c r="Q23" i="25"/>
  <c r="Q24" i="25"/>
  <c r="Q26" i="25"/>
  <c r="Q27" i="25"/>
  <c r="Q30" i="25"/>
  <c r="Q19" i="25"/>
  <c r="AB5" i="25"/>
  <c r="AB6" i="25"/>
  <c r="AB7" i="25"/>
  <c r="AB8" i="25"/>
  <c r="AB9" i="25"/>
  <c r="AB10" i="25"/>
  <c r="AB11" i="25"/>
  <c r="AB12" i="25"/>
  <c r="AB13" i="25"/>
  <c r="AB14" i="25"/>
  <c r="AB15" i="25"/>
  <c r="AB4" i="25"/>
  <c r="AA5" i="25"/>
  <c r="AA6" i="25"/>
  <c r="AA7" i="25"/>
  <c r="AA8" i="25"/>
  <c r="AA9" i="25"/>
  <c r="AA10" i="25"/>
  <c r="AA11" i="25"/>
  <c r="AA12" i="25"/>
  <c r="AA13" i="25"/>
  <c r="AA14" i="25"/>
  <c r="AA15" i="25"/>
  <c r="AA4" i="25"/>
  <c r="Z5" i="25"/>
  <c r="Z6" i="25"/>
  <c r="Z7" i="25"/>
  <c r="Z8" i="25"/>
  <c r="Z9" i="25"/>
  <c r="Z10" i="25"/>
  <c r="Z11" i="25"/>
  <c r="Z12" i="25"/>
  <c r="Z13" i="25"/>
  <c r="Z14" i="25"/>
  <c r="Z15" i="25"/>
  <c r="Z4" i="25"/>
  <c r="Y5" i="25"/>
  <c r="Y6" i="25"/>
  <c r="Y7" i="25"/>
  <c r="Y8" i="25"/>
  <c r="Y9" i="25"/>
  <c r="Y10" i="25"/>
  <c r="Y11" i="25"/>
  <c r="Y12" i="25"/>
  <c r="Y13" i="25"/>
  <c r="Y14" i="25"/>
  <c r="Y15" i="25"/>
  <c r="Y4" i="25"/>
  <c r="X5" i="25"/>
  <c r="X6" i="25"/>
  <c r="X7" i="25"/>
  <c r="X8" i="25"/>
  <c r="X9" i="25"/>
  <c r="X10" i="25"/>
  <c r="X11" i="25"/>
  <c r="X12" i="25"/>
  <c r="X13" i="25"/>
  <c r="X14" i="25"/>
  <c r="X15" i="25"/>
  <c r="X4" i="25"/>
  <c r="W5" i="25"/>
  <c r="W6" i="25"/>
  <c r="W7" i="25"/>
  <c r="W8" i="25"/>
  <c r="W9" i="25"/>
  <c r="W10" i="25"/>
  <c r="W11" i="25"/>
  <c r="W12" i="25"/>
  <c r="W13" i="25"/>
  <c r="W14" i="25"/>
  <c r="W15" i="25"/>
  <c r="W4" i="25"/>
  <c r="V5" i="25"/>
  <c r="V6" i="25"/>
  <c r="V7" i="25"/>
  <c r="V8" i="25"/>
  <c r="V9" i="25"/>
  <c r="V10" i="25"/>
  <c r="V11" i="25"/>
  <c r="V12" i="25"/>
  <c r="V13" i="25"/>
  <c r="V14" i="25"/>
  <c r="V15" i="25"/>
  <c r="V4" i="25"/>
  <c r="U5" i="25"/>
  <c r="U6" i="25"/>
  <c r="U7" i="25"/>
  <c r="U8" i="25"/>
  <c r="U9" i="25"/>
  <c r="U10" i="25"/>
  <c r="U11" i="25"/>
  <c r="U12" i="25"/>
  <c r="U13" i="25"/>
  <c r="U14" i="25"/>
  <c r="U15" i="25"/>
  <c r="U4" i="25"/>
  <c r="T5" i="25"/>
  <c r="T6" i="25"/>
  <c r="T7" i="25"/>
  <c r="T8" i="25"/>
  <c r="T9" i="25"/>
  <c r="T10" i="25"/>
  <c r="T11" i="25"/>
  <c r="T12" i="25"/>
  <c r="T13" i="25"/>
  <c r="T14" i="25"/>
  <c r="T15" i="25"/>
  <c r="T4" i="25"/>
  <c r="S5" i="25"/>
  <c r="S6" i="25"/>
  <c r="S7" i="25"/>
  <c r="S8" i="25"/>
  <c r="S9" i="25"/>
  <c r="S10" i="25"/>
  <c r="S11" i="25"/>
  <c r="S12" i="25"/>
  <c r="S13" i="25"/>
  <c r="S14" i="25"/>
  <c r="S15" i="25"/>
  <c r="S4" i="25"/>
  <c r="R5" i="25"/>
  <c r="R6" i="25"/>
  <c r="R7" i="25"/>
  <c r="R8" i="25"/>
  <c r="R9" i="25"/>
  <c r="R10" i="25"/>
  <c r="R11" i="25"/>
  <c r="R12" i="25"/>
  <c r="R13" i="25"/>
  <c r="R14" i="25"/>
  <c r="R15" i="25"/>
  <c r="R4" i="25"/>
  <c r="P2" i="25"/>
  <c r="N9" i="25"/>
  <c r="N12" i="25"/>
  <c r="N13" i="25"/>
  <c r="N6" i="25"/>
  <c r="N7" i="25"/>
  <c r="N5" i="25"/>
  <c r="C46" i="25"/>
  <c r="D46" i="25"/>
  <c r="E46" i="25"/>
  <c r="F46" i="25"/>
  <c r="G46" i="25"/>
  <c r="H46" i="25"/>
  <c r="I46" i="25"/>
  <c r="J46" i="25"/>
  <c r="K46" i="25"/>
  <c r="L46" i="25"/>
  <c r="M46" i="25"/>
  <c r="B46" i="25"/>
  <c r="C31" i="25"/>
  <c r="D31" i="25"/>
  <c r="E31" i="25"/>
  <c r="F31" i="25"/>
  <c r="G31" i="25"/>
  <c r="H31" i="25"/>
  <c r="I31" i="25"/>
  <c r="J31" i="25"/>
  <c r="K31" i="25"/>
  <c r="L31" i="25"/>
  <c r="M31" i="25"/>
  <c r="B31" i="25"/>
  <c r="C16" i="25"/>
  <c r="D16" i="25"/>
  <c r="E16" i="25"/>
  <c r="F16" i="25"/>
  <c r="G16" i="25"/>
  <c r="H16" i="25"/>
  <c r="I16" i="25"/>
  <c r="J16" i="25"/>
  <c r="K16" i="25"/>
  <c r="L16" i="25"/>
  <c r="M16" i="25"/>
  <c r="B16" i="25"/>
  <c r="N15" i="25"/>
  <c r="N19" i="25"/>
  <c r="N20" i="25"/>
  <c r="N21" i="25"/>
  <c r="N22" i="25"/>
  <c r="N23" i="25"/>
  <c r="N24" i="25"/>
  <c r="N25" i="25"/>
  <c r="N26" i="25"/>
  <c r="N27" i="25"/>
  <c r="N28" i="25"/>
  <c r="N29" i="25"/>
  <c r="N30" i="25"/>
  <c r="N34" i="25"/>
  <c r="N35" i="25"/>
  <c r="N36" i="25"/>
  <c r="N37" i="25"/>
  <c r="N38" i="25"/>
  <c r="N39" i="25"/>
  <c r="N40" i="25"/>
  <c r="N41" i="25"/>
  <c r="N42" i="25"/>
  <c r="N43" i="25"/>
  <c r="N44" i="25"/>
  <c r="N45" i="25"/>
  <c r="B2" i="25"/>
  <c r="B17" i="25"/>
  <c r="B32" i="25"/>
  <c r="B47" i="25"/>
  <c r="B61" i="25"/>
  <c r="B75" i="25"/>
  <c r="B89" i="25"/>
  <c r="B103" i="25"/>
  <c r="B117" i="25"/>
  <c r="B131" i="25"/>
  <c r="B145" i="25"/>
  <c r="B159" i="25"/>
  <c r="N10" i="25"/>
  <c r="N11" i="25"/>
  <c r="N14" i="25"/>
  <c r="N4" i="25"/>
  <c r="N8" i="25"/>
  <c r="T9" i="17"/>
  <c r="U9" i="17"/>
  <c r="V9" i="17"/>
  <c r="S9" i="17"/>
  <c r="T8" i="17"/>
  <c r="U8" i="17"/>
  <c r="V8" i="17"/>
  <c r="S8" i="17"/>
  <c r="T7" i="17"/>
  <c r="U7" i="17"/>
  <c r="V7" i="17"/>
  <c r="S7" i="17"/>
  <c r="T6" i="17"/>
  <c r="U6" i="17"/>
  <c r="V6" i="17"/>
  <c r="S6" i="17"/>
  <c r="T5" i="17"/>
  <c r="U5" i="17"/>
  <c r="V5" i="17"/>
  <c r="S5" i="17"/>
  <c r="L6" i="19"/>
  <c r="L7" i="19"/>
  <c r="L8" i="19"/>
  <c r="L5" i="19"/>
  <c r="L39" i="18"/>
  <c r="L40" i="18"/>
  <c r="L41" i="18"/>
  <c r="L38" i="18"/>
  <c r="L28" i="18"/>
  <c r="L19" i="18"/>
  <c r="L20" i="18"/>
  <c r="L18" i="18"/>
  <c r="L9" i="18"/>
  <c r="L10" i="18"/>
  <c r="L8" i="18"/>
  <c r="L59" i="17"/>
  <c r="L58" i="17"/>
  <c r="L49" i="17"/>
  <c r="L50" i="17"/>
  <c r="L48" i="17"/>
  <c r="L39" i="17"/>
  <c r="L40" i="17"/>
  <c r="L38" i="17"/>
  <c r="L29" i="17"/>
  <c r="L30" i="17"/>
  <c r="L28" i="17"/>
  <c r="L16" i="17"/>
  <c r="L17" i="17"/>
  <c r="L18" i="17"/>
  <c r="L19" i="17"/>
  <c r="L20" i="17"/>
  <c r="L15" i="17"/>
  <c r="L6" i="17"/>
  <c r="L7" i="17"/>
  <c r="L5" i="17"/>
  <c r="E31" i="8"/>
  <c r="T8" i="8" s="1"/>
  <c r="B11" i="4"/>
  <c r="B31" i="8"/>
  <c r="Q11" i="8" s="1"/>
  <c r="BF2" i="19"/>
  <c r="BA2" i="19"/>
  <c r="AV2" i="19"/>
  <c r="AQ2" i="19"/>
  <c r="AL2" i="19"/>
  <c r="AG2" i="19"/>
  <c r="AB2" i="19"/>
  <c r="W2" i="19"/>
  <c r="R2" i="19"/>
  <c r="M2" i="19"/>
  <c r="H2" i="19"/>
  <c r="C2" i="19"/>
  <c r="B156" i="20"/>
  <c r="B142" i="20"/>
  <c r="B128" i="20"/>
  <c r="B114" i="20"/>
  <c r="B100" i="20"/>
  <c r="B86" i="20"/>
  <c r="B72" i="20"/>
  <c r="B58" i="20"/>
  <c r="B44" i="20"/>
  <c r="B30" i="20"/>
  <c r="B16" i="20"/>
  <c r="B2" i="20"/>
  <c r="BF35" i="18"/>
  <c r="BA35" i="18"/>
  <c r="AV35" i="18"/>
  <c r="AQ35" i="18"/>
  <c r="AL35" i="18"/>
  <c r="AG35" i="18"/>
  <c r="AB35" i="18"/>
  <c r="W35" i="18"/>
  <c r="R35" i="18"/>
  <c r="M35" i="18"/>
  <c r="H35" i="18"/>
  <c r="BF25" i="18"/>
  <c r="BA25" i="18"/>
  <c r="AV25" i="18"/>
  <c r="AQ25" i="18"/>
  <c r="AL25" i="18"/>
  <c r="AG25" i="18"/>
  <c r="AB25" i="18"/>
  <c r="W25" i="18"/>
  <c r="R25" i="18"/>
  <c r="M25" i="18"/>
  <c r="H25" i="18"/>
  <c r="BF15" i="18"/>
  <c r="BA15" i="18"/>
  <c r="AV15" i="18"/>
  <c r="AQ15" i="18"/>
  <c r="AL15" i="18"/>
  <c r="AG15" i="18"/>
  <c r="AB15" i="18"/>
  <c r="W15" i="18"/>
  <c r="R15" i="18"/>
  <c r="M15" i="18"/>
  <c r="H15" i="18"/>
  <c r="BF5" i="18"/>
  <c r="BA5" i="18"/>
  <c r="AV5" i="18"/>
  <c r="AQ5" i="18"/>
  <c r="AL5" i="18"/>
  <c r="AG5" i="18"/>
  <c r="AB5" i="18"/>
  <c r="W5" i="18"/>
  <c r="R5" i="18"/>
  <c r="M5" i="18"/>
  <c r="H5" i="18"/>
  <c r="BG55" i="17"/>
  <c r="BB55" i="17"/>
  <c r="AW55" i="17"/>
  <c r="AR55" i="17"/>
  <c r="AM55" i="17"/>
  <c r="AH55" i="17"/>
  <c r="AC55" i="17"/>
  <c r="X55" i="17"/>
  <c r="S55" i="17"/>
  <c r="M55" i="17"/>
  <c r="H55" i="17"/>
  <c r="BG45" i="17"/>
  <c r="BB45" i="17"/>
  <c r="AW45" i="17"/>
  <c r="AR45" i="17"/>
  <c r="AM45" i="17"/>
  <c r="AH45" i="17"/>
  <c r="AC45" i="17"/>
  <c r="X45" i="17"/>
  <c r="S45" i="17"/>
  <c r="M45" i="17"/>
  <c r="H45" i="17"/>
  <c r="BG35" i="17"/>
  <c r="BB35" i="17"/>
  <c r="AW35" i="17"/>
  <c r="AR35" i="17"/>
  <c r="AM35" i="17"/>
  <c r="AH35" i="17"/>
  <c r="AC35" i="17"/>
  <c r="X35" i="17"/>
  <c r="S35" i="17"/>
  <c r="M35" i="17"/>
  <c r="H35" i="17"/>
  <c r="BG25" i="17"/>
  <c r="BB25" i="17"/>
  <c r="AW25" i="17"/>
  <c r="AR25" i="17"/>
  <c r="AM25" i="17"/>
  <c r="AH25" i="17"/>
  <c r="AC25" i="17"/>
  <c r="X25" i="17"/>
  <c r="S25" i="17"/>
  <c r="M25" i="17"/>
  <c r="H25" i="17"/>
  <c r="BG12" i="17"/>
  <c r="BB12" i="17"/>
  <c r="AW12" i="17"/>
  <c r="AR12" i="17"/>
  <c r="AM12" i="17"/>
  <c r="AH12" i="17"/>
  <c r="AC12" i="17"/>
  <c r="X12" i="17"/>
  <c r="S12" i="17"/>
  <c r="M12" i="17"/>
  <c r="H12" i="17"/>
  <c r="BG2" i="17"/>
  <c r="BB2" i="17"/>
  <c r="AW2" i="17"/>
  <c r="AR2" i="17"/>
  <c r="AM2" i="17"/>
  <c r="AH2" i="17"/>
  <c r="AC2" i="17"/>
  <c r="X2" i="17"/>
  <c r="S2" i="17"/>
  <c r="M2" i="17"/>
  <c r="H2" i="17"/>
  <c r="B4" i="2"/>
  <c r="N2" i="12"/>
  <c r="M2" i="12"/>
  <c r="L2" i="12"/>
  <c r="K2" i="12"/>
  <c r="J2" i="12"/>
  <c r="I2" i="12"/>
  <c r="H2" i="12"/>
  <c r="G2" i="12"/>
  <c r="E2" i="12"/>
  <c r="C2" i="12"/>
  <c r="B2" i="12"/>
  <c r="AC13" i="9"/>
  <c r="AB13" i="9"/>
  <c r="AA13" i="9"/>
  <c r="Z13" i="9"/>
  <c r="Y13" i="9"/>
  <c r="X13" i="9"/>
  <c r="W13" i="9"/>
  <c r="V13" i="9"/>
  <c r="T13" i="9"/>
  <c r="R13" i="9"/>
  <c r="Q13" i="9"/>
  <c r="AC3" i="9"/>
  <c r="AB3" i="9"/>
  <c r="AA3" i="9"/>
  <c r="Z3" i="9"/>
  <c r="Y3" i="9"/>
  <c r="X3" i="9"/>
  <c r="W3" i="9"/>
  <c r="V3" i="9"/>
  <c r="T3" i="9"/>
  <c r="R3" i="9"/>
  <c r="Q3" i="9"/>
  <c r="N13" i="9"/>
  <c r="M13" i="9"/>
  <c r="L13" i="9"/>
  <c r="K13" i="9"/>
  <c r="J13" i="9"/>
  <c r="I13" i="9"/>
  <c r="H13" i="9"/>
  <c r="G13" i="9"/>
  <c r="E13" i="9"/>
  <c r="C13" i="9"/>
  <c r="B13" i="9"/>
  <c r="N3" i="9"/>
  <c r="M3" i="9"/>
  <c r="L3" i="9"/>
  <c r="K3" i="9"/>
  <c r="J3" i="9"/>
  <c r="I3" i="9"/>
  <c r="H3" i="9"/>
  <c r="G3" i="9"/>
  <c r="E3" i="9"/>
  <c r="C3" i="9"/>
  <c r="B3" i="9"/>
  <c r="AC24" i="8"/>
  <c r="AB24" i="8"/>
  <c r="AA24" i="8"/>
  <c r="Z24" i="8"/>
  <c r="Y24" i="8"/>
  <c r="X24" i="8"/>
  <c r="W24" i="8"/>
  <c r="V24" i="8"/>
  <c r="T24" i="8"/>
  <c r="R24" i="8"/>
  <c r="Q24" i="8"/>
  <c r="AC4" i="8"/>
  <c r="AB4" i="8"/>
  <c r="AA4" i="8"/>
  <c r="Z4" i="8"/>
  <c r="Y4" i="8"/>
  <c r="X4" i="8"/>
  <c r="W4" i="8"/>
  <c r="V4" i="8"/>
  <c r="T4" i="8"/>
  <c r="R4" i="8"/>
  <c r="Q4" i="8"/>
  <c r="N4" i="8"/>
  <c r="M4" i="8"/>
  <c r="L4" i="8"/>
  <c r="K4" i="8"/>
  <c r="J4" i="8"/>
  <c r="I4" i="8"/>
  <c r="H4" i="8"/>
  <c r="G4" i="8"/>
  <c r="E4" i="8"/>
  <c r="C4" i="8"/>
  <c r="B4" i="8"/>
  <c r="AC4" i="7"/>
  <c r="AB4" i="7"/>
  <c r="AA4" i="7"/>
  <c r="Z4" i="7"/>
  <c r="Y4" i="7"/>
  <c r="X4" i="7"/>
  <c r="W4" i="7"/>
  <c r="V4" i="7"/>
  <c r="T4" i="7"/>
  <c r="R4" i="7"/>
  <c r="Q4" i="7"/>
  <c r="N4" i="7"/>
  <c r="M4" i="7"/>
  <c r="L4" i="7"/>
  <c r="K4" i="7"/>
  <c r="J4" i="7"/>
  <c r="I4" i="7"/>
  <c r="H4" i="7"/>
  <c r="G4" i="7"/>
  <c r="E4" i="7"/>
  <c r="C4" i="7"/>
  <c r="B4" i="7"/>
  <c r="AC4" i="5"/>
  <c r="AB4" i="5"/>
  <c r="AA4" i="5"/>
  <c r="Z4" i="5"/>
  <c r="Y4" i="5"/>
  <c r="X4" i="5"/>
  <c r="W4" i="5"/>
  <c r="V4" i="5"/>
  <c r="T4" i="5"/>
  <c r="R4" i="5"/>
  <c r="Q4" i="5"/>
  <c r="N4" i="5"/>
  <c r="M4" i="5"/>
  <c r="L4" i="5"/>
  <c r="K4" i="5"/>
  <c r="J4" i="5"/>
  <c r="I4" i="5"/>
  <c r="H4" i="5"/>
  <c r="G4" i="5"/>
  <c r="E4" i="5"/>
  <c r="C4" i="5"/>
  <c r="B4" i="5"/>
  <c r="AC4" i="4"/>
  <c r="AB4" i="4"/>
  <c r="AA4" i="4"/>
  <c r="Z4" i="4"/>
  <c r="Y4" i="4"/>
  <c r="X4" i="4"/>
  <c r="W4" i="4"/>
  <c r="V4" i="4"/>
  <c r="T4" i="4"/>
  <c r="R4" i="4"/>
  <c r="Q4" i="4"/>
  <c r="N4" i="4"/>
  <c r="M4" i="4"/>
  <c r="L4" i="4"/>
  <c r="K4" i="4"/>
  <c r="J4" i="4"/>
  <c r="I4" i="4"/>
  <c r="H4" i="4"/>
  <c r="G4" i="4"/>
  <c r="E4" i="4"/>
  <c r="C4" i="4"/>
  <c r="B4" i="4"/>
  <c r="AC4" i="2"/>
  <c r="AB4" i="2"/>
  <c r="AA4" i="2"/>
  <c r="Z4" i="2"/>
  <c r="Y4" i="2"/>
  <c r="X4" i="2"/>
  <c r="W4" i="2"/>
  <c r="V4" i="2"/>
  <c r="T4" i="2"/>
  <c r="R4" i="2"/>
  <c r="Q4" i="2"/>
  <c r="N4" i="2"/>
  <c r="M4" i="2"/>
  <c r="L4" i="2"/>
  <c r="K4" i="2"/>
  <c r="J4" i="2"/>
  <c r="I4" i="2"/>
  <c r="H4" i="2"/>
  <c r="G4" i="2"/>
  <c r="E4" i="2"/>
  <c r="C4" i="2"/>
  <c r="C21" i="9"/>
  <c r="R14" i="9"/>
  <c r="E21" i="9"/>
  <c r="T19" i="9"/>
  <c r="F21" i="9"/>
  <c r="U14" i="9"/>
  <c r="G21" i="9"/>
  <c r="H21" i="9"/>
  <c r="W20" i="9" s="1"/>
  <c r="I21" i="9"/>
  <c r="X19" i="9" s="1"/>
  <c r="J21" i="9"/>
  <c r="K21" i="9"/>
  <c r="L21" i="9"/>
  <c r="AA19" i="9" s="1"/>
  <c r="M21" i="9"/>
  <c r="AB17" i="9" s="1"/>
  <c r="N21" i="9"/>
  <c r="B21" i="9"/>
  <c r="Q15" i="9" s="1"/>
  <c r="C8" i="9"/>
  <c r="R4" i="9" s="1"/>
  <c r="E8" i="9"/>
  <c r="T5" i="9" s="1"/>
  <c r="F8" i="9"/>
  <c r="U5" i="9" s="1"/>
  <c r="G8" i="9"/>
  <c r="V5" i="9" s="1"/>
  <c r="H8" i="9"/>
  <c r="W4" i="9" s="1"/>
  <c r="I8" i="9"/>
  <c r="X6" i="9" s="1"/>
  <c r="J8" i="9"/>
  <c r="K8" i="9"/>
  <c r="Z5" i="9" s="1"/>
  <c r="L8" i="9"/>
  <c r="AA4" i="9" s="1"/>
  <c r="M8" i="9"/>
  <c r="AB5" i="9" s="1"/>
  <c r="N8" i="9"/>
  <c r="B8" i="9"/>
  <c r="Q26" i="8"/>
  <c r="R26" i="8"/>
  <c r="T26" i="8"/>
  <c r="U26" i="8"/>
  <c r="V26" i="8"/>
  <c r="W26" i="8"/>
  <c r="X26" i="8"/>
  <c r="Y26" i="8"/>
  <c r="Z26" i="8"/>
  <c r="AA26" i="8"/>
  <c r="AB26" i="8"/>
  <c r="AC26" i="8"/>
  <c r="Q27" i="8"/>
  <c r="R27" i="8"/>
  <c r="T27" i="8"/>
  <c r="U27" i="8"/>
  <c r="V27" i="8"/>
  <c r="W27" i="8"/>
  <c r="X27" i="8"/>
  <c r="Y27" i="8"/>
  <c r="Z27" i="8"/>
  <c r="AA27" i="8"/>
  <c r="AB27" i="8"/>
  <c r="AC27" i="8"/>
  <c r="Q28" i="8"/>
  <c r="R28" i="8"/>
  <c r="T28" i="8"/>
  <c r="U28" i="8"/>
  <c r="V28" i="8"/>
  <c r="W28" i="8"/>
  <c r="X28" i="8"/>
  <c r="Y28" i="8"/>
  <c r="Z28" i="8"/>
  <c r="AA28" i="8"/>
  <c r="AB28" i="8"/>
  <c r="AC28" i="8"/>
  <c r="Q29" i="8"/>
  <c r="R29" i="8"/>
  <c r="T29" i="8"/>
  <c r="U29" i="8"/>
  <c r="V29" i="8"/>
  <c r="W29" i="8"/>
  <c r="X29" i="8"/>
  <c r="Y29" i="8"/>
  <c r="Z29" i="8"/>
  <c r="AA29" i="8"/>
  <c r="AB29" i="8"/>
  <c r="AC29" i="8"/>
  <c r="Q30" i="8"/>
  <c r="R30" i="8"/>
  <c r="T30" i="8"/>
  <c r="U30" i="8"/>
  <c r="V30" i="8"/>
  <c r="W30" i="8"/>
  <c r="X30" i="8"/>
  <c r="Y30" i="8"/>
  <c r="Z30" i="8"/>
  <c r="AA30" i="8"/>
  <c r="AB30" i="8"/>
  <c r="AC30" i="8"/>
  <c r="Q31" i="8"/>
  <c r="R31" i="8"/>
  <c r="T31" i="8"/>
  <c r="U31" i="8"/>
  <c r="V31" i="8"/>
  <c r="W31" i="8"/>
  <c r="X31" i="8"/>
  <c r="Y31" i="8"/>
  <c r="Z31" i="8"/>
  <c r="AA31" i="8"/>
  <c r="AB31" i="8"/>
  <c r="AC31" i="8"/>
  <c r="Q32" i="8"/>
  <c r="R32" i="8"/>
  <c r="T32" i="8"/>
  <c r="U32" i="8"/>
  <c r="V32" i="8"/>
  <c r="W32" i="8"/>
  <c r="X32" i="8"/>
  <c r="Y32" i="8"/>
  <c r="Z32" i="8"/>
  <c r="AA32" i="8"/>
  <c r="AB32" i="8"/>
  <c r="AC32" i="8"/>
  <c r="R25" i="8"/>
  <c r="T25" i="8"/>
  <c r="U25" i="8"/>
  <c r="V25" i="8"/>
  <c r="W25" i="8"/>
  <c r="X25" i="8"/>
  <c r="Y25" i="8"/>
  <c r="Z25" i="8"/>
  <c r="AA25" i="8"/>
  <c r="AB25" i="8"/>
  <c r="AC25" i="8"/>
  <c r="Q25" i="8"/>
  <c r="G31" i="8"/>
  <c r="V11" i="8" s="1"/>
  <c r="H31" i="8"/>
  <c r="I31" i="8"/>
  <c r="J31" i="8"/>
  <c r="Y12" i="8" s="1"/>
  <c r="K31" i="8"/>
  <c r="Z11" i="8"/>
  <c r="L31" i="8"/>
  <c r="AA13" i="8"/>
  <c r="M31" i="8"/>
  <c r="AB11" i="8"/>
  <c r="N31" i="8"/>
  <c r="AC14" i="8"/>
  <c r="C31" i="8"/>
  <c r="R10" i="8"/>
  <c r="T10" i="8"/>
  <c r="N35" i="7"/>
  <c r="C35" i="7"/>
  <c r="R22" i="7" s="1"/>
  <c r="E35" i="7"/>
  <c r="T12" i="7" s="1"/>
  <c r="F35" i="7"/>
  <c r="G35" i="7"/>
  <c r="H35" i="7"/>
  <c r="W26" i="7" s="1"/>
  <c r="I35" i="7"/>
  <c r="J35" i="7"/>
  <c r="Y23" i="7" s="1"/>
  <c r="K35" i="7"/>
  <c r="Z30" i="7" s="1"/>
  <c r="L35" i="7"/>
  <c r="AP6" i="7" s="1"/>
  <c r="M35" i="7"/>
  <c r="AB26" i="7"/>
  <c r="B35" i="7"/>
  <c r="AF8" i="7" s="1"/>
  <c r="B27" i="5"/>
  <c r="Q11" i="5" s="1"/>
  <c r="G27" i="5"/>
  <c r="H27" i="5"/>
  <c r="I27" i="5"/>
  <c r="J27" i="5"/>
  <c r="Y26" i="5" s="1"/>
  <c r="K27" i="5"/>
  <c r="L27" i="5"/>
  <c r="M27" i="5"/>
  <c r="N27" i="5"/>
  <c r="AC7" i="5" s="1"/>
  <c r="E27" i="5"/>
  <c r="F27" i="5"/>
  <c r="C27" i="5"/>
  <c r="R5" i="5" s="1"/>
  <c r="H11" i="4"/>
  <c r="W5" i="4" s="1"/>
  <c r="C11" i="4"/>
  <c r="R5" i="4" s="1"/>
  <c r="E11" i="4"/>
  <c r="T5" i="4" s="1"/>
  <c r="F11" i="4"/>
  <c r="G11" i="4"/>
  <c r="V6" i="4" s="1"/>
  <c r="I11" i="4"/>
  <c r="J11" i="4"/>
  <c r="K11" i="4"/>
  <c r="L11" i="4"/>
  <c r="M11" i="4"/>
  <c r="N11" i="4"/>
  <c r="G20" i="2"/>
  <c r="H20" i="2"/>
  <c r="W5" i="2" s="1"/>
  <c r="I20" i="2"/>
  <c r="X16" i="2" s="1"/>
  <c r="J20" i="2"/>
  <c r="Y6" i="2" s="1"/>
  <c r="K20" i="2"/>
  <c r="Z5" i="2"/>
  <c r="L20" i="2"/>
  <c r="AA5" i="2"/>
  <c r="M20" i="2"/>
  <c r="AB10" i="2"/>
  <c r="N20" i="2"/>
  <c r="AC13" i="2"/>
  <c r="C5" i="12"/>
  <c r="C6" i="12" s="1"/>
  <c r="L5" i="12"/>
  <c r="K5" i="12"/>
  <c r="J5" i="12"/>
  <c r="I5" i="12"/>
  <c r="H5" i="12"/>
  <c r="G5" i="12"/>
  <c r="F5" i="12"/>
  <c r="F6" i="12" s="1"/>
  <c r="E5" i="12"/>
  <c r="E6" i="12" s="1"/>
  <c r="B5" i="12"/>
  <c r="B6" i="12" s="1"/>
  <c r="AC19" i="8"/>
  <c r="Y9" i="5"/>
  <c r="Z6" i="7"/>
  <c r="AC31" i="7"/>
  <c r="AC11" i="8"/>
  <c r="X5" i="4"/>
  <c r="AC20" i="7"/>
  <c r="AC9" i="8"/>
  <c r="W25" i="5"/>
  <c r="X27" i="7"/>
  <c r="AB21" i="7"/>
  <c r="X8" i="8"/>
  <c r="X20" i="8"/>
  <c r="X15" i="8"/>
  <c r="U20" i="9"/>
  <c r="U9" i="5"/>
  <c r="X26" i="7"/>
  <c r="AB14" i="7"/>
  <c r="X9" i="8"/>
  <c r="AA22" i="8"/>
  <c r="AA14" i="8"/>
  <c r="AC19" i="9"/>
  <c r="AA9" i="4"/>
  <c r="W8" i="5"/>
  <c r="AA25" i="5"/>
  <c r="V5" i="7"/>
  <c r="AB7" i="7"/>
  <c r="AB28" i="7"/>
  <c r="Y18" i="7"/>
  <c r="X5" i="8"/>
  <c r="AA8" i="8"/>
  <c r="AC10" i="8"/>
  <c r="AA18" i="8"/>
  <c r="AC15" i="8"/>
  <c r="X13" i="8"/>
  <c r="AC14" i="9"/>
  <c r="U19" i="9"/>
  <c r="U18" i="9"/>
  <c r="U17" i="9"/>
  <c r="U16" i="9"/>
  <c r="AB15" i="9"/>
  <c r="W6" i="4"/>
  <c r="AA8" i="5"/>
  <c r="AB10" i="7"/>
  <c r="X29" i="7"/>
  <c r="AB19" i="7"/>
  <c r="AC8" i="8"/>
  <c r="X22" i="8"/>
  <c r="X16" i="8"/>
  <c r="Y19" i="9"/>
  <c r="X17" i="9"/>
  <c r="U26" i="5"/>
  <c r="V11" i="5"/>
  <c r="V15" i="5"/>
  <c r="V19" i="5"/>
  <c r="Z12" i="5"/>
  <c r="AA18" i="7"/>
  <c r="AA21" i="7"/>
  <c r="AA5" i="7"/>
  <c r="AA9" i="7"/>
  <c r="X14" i="2"/>
  <c r="U9" i="4"/>
  <c r="AC19" i="5"/>
  <c r="AC12" i="5"/>
  <c r="Y13" i="5"/>
  <c r="Y17" i="5"/>
  <c r="Y18" i="5"/>
  <c r="Z5" i="5"/>
  <c r="V5" i="5"/>
  <c r="Z10" i="5"/>
  <c r="V10" i="5"/>
  <c r="T9" i="5"/>
  <c r="T7" i="5"/>
  <c r="V6" i="5"/>
  <c r="Z25" i="5"/>
  <c r="X24" i="5"/>
  <c r="Z23" i="5"/>
  <c r="V23" i="5"/>
  <c r="AA21" i="5"/>
  <c r="V20" i="5"/>
  <c r="T17" i="5"/>
  <c r="V12" i="5"/>
  <c r="R30" i="7"/>
  <c r="AB16" i="2"/>
  <c r="Z11" i="5"/>
  <c r="Z15" i="5"/>
  <c r="Z19" i="5"/>
  <c r="Z9" i="2"/>
  <c r="AB20" i="5"/>
  <c r="AC10" i="5"/>
  <c r="U10" i="5"/>
  <c r="AA7" i="5"/>
  <c r="AC6" i="5"/>
  <c r="W26" i="5"/>
  <c r="Y25" i="5"/>
  <c r="AA24" i="5"/>
  <c r="V22" i="5"/>
  <c r="X21" i="5"/>
  <c r="Z16" i="5"/>
  <c r="T5" i="5"/>
  <c r="T14" i="5"/>
  <c r="T18" i="5"/>
  <c r="T22" i="5"/>
  <c r="V14" i="5"/>
  <c r="W12" i="7"/>
  <c r="AL9" i="7"/>
  <c r="W15" i="7"/>
  <c r="W5" i="7"/>
  <c r="R14" i="7"/>
  <c r="R18" i="7"/>
  <c r="V18" i="2"/>
  <c r="AB10" i="4"/>
  <c r="AB9" i="4"/>
  <c r="AB8" i="4"/>
  <c r="AB7" i="4"/>
  <c r="U11" i="5"/>
  <c r="U17" i="5"/>
  <c r="U19" i="5"/>
  <c r="U21" i="5"/>
  <c r="U14" i="5"/>
  <c r="U16" i="5"/>
  <c r="U18" i="5"/>
  <c r="AA12" i="5"/>
  <c r="AA14" i="5"/>
  <c r="AA16" i="5"/>
  <c r="AA20" i="5"/>
  <c r="AA11" i="5"/>
  <c r="AA13" i="5"/>
  <c r="AA17" i="5"/>
  <c r="AA19" i="5"/>
  <c r="W12" i="5"/>
  <c r="W16" i="5"/>
  <c r="W18" i="5"/>
  <c r="W20" i="5"/>
  <c r="W11" i="5"/>
  <c r="W13" i="5"/>
  <c r="W15" i="5"/>
  <c r="W19" i="5"/>
  <c r="W21" i="5"/>
  <c r="X10" i="5"/>
  <c r="T10" i="5"/>
  <c r="Z9" i="5"/>
  <c r="V9" i="5"/>
  <c r="AB8" i="5"/>
  <c r="T8" i="5"/>
  <c r="Z7" i="5"/>
  <c r="AB6" i="5"/>
  <c r="T6" i="5"/>
  <c r="Z26" i="5"/>
  <c r="V26" i="5"/>
  <c r="T25" i="5"/>
  <c r="Z24" i="5"/>
  <c r="T23" i="5"/>
  <c r="Z22" i="5"/>
  <c r="U22" i="5"/>
  <c r="T21" i="5"/>
  <c r="AB17" i="5"/>
  <c r="V16" i="5"/>
  <c r="Z14" i="5"/>
  <c r="T13" i="5"/>
  <c r="X11" i="5"/>
  <c r="W8" i="7"/>
  <c r="AO9" i="7"/>
  <c r="AO7" i="7"/>
  <c r="Z15" i="7"/>
  <c r="AO5" i="7"/>
  <c r="Z19" i="7"/>
  <c r="Z23" i="7"/>
  <c r="Z33" i="7"/>
  <c r="Z25" i="7"/>
  <c r="AK8" i="7"/>
  <c r="V14" i="7"/>
  <c r="V20" i="7"/>
  <c r="V17" i="7"/>
  <c r="V23" i="7"/>
  <c r="V33" i="7"/>
  <c r="V13" i="7"/>
  <c r="AC5" i="7"/>
  <c r="AC11" i="7"/>
  <c r="AB9" i="7"/>
  <c r="X9" i="7"/>
  <c r="Z8" i="7"/>
  <c r="V8" i="7"/>
  <c r="AC6" i="7"/>
  <c r="Z34" i="7"/>
  <c r="V34" i="7"/>
  <c r="Y33" i="7"/>
  <c r="X32" i="7"/>
  <c r="V31" i="7"/>
  <c r="AB29" i="7"/>
  <c r="V27" i="7"/>
  <c r="V26" i="7"/>
  <c r="X24" i="7"/>
  <c r="Z21" i="7"/>
  <c r="V18" i="7"/>
  <c r="AB15" i="7"/>
  <c r="X13" i="7"/>
  <c r="AQ6" i="7"/>
  <c r="AM8" i="7"/>
  <c r="Y10" i="8"/>
  <c r="AC5" i="8"/>
  <c r="AA9" i="8"/>
  <c r="AC6" i="8"/>
  <c r="AA10" i="8"/>
  <c r="AC20" i="8"/>
  <c r="AA19" i="8"/>
  <c r="AC16" i="8"/>
  <c r="AA15" i="8"/>
  <c r="AC12" i="8"/>
  <c r="AA11" i="8"/>
  <c r="AR6" i="7"/>
  <c r="AC16" i="7"/>
  <c r="AR8" i="7"/>
  <c r="AC15" i="7"/>
  <c r="AC18" i="7"/>
  <c r="AC24" i="7"/>
  <c r="AC29" i="7"/>
  <c r="AR5" i="7"/>
  <c r="AC14" i="7"/>
  <c r="AC19" i="7"/>
  <c r="AC21" i="7"/>
  <c r="AC26" i="7"/>
  <c r="AC27" i="7"/>
  <c r="AN8" i="7"/>
  <c r="AN9" i="7"/>
  <c r="AJ9" i="7"/>
  <c r="AB5" i="7"/>
  <c r="X5" i="7"/>
  <c r="AB11" i="7"/>
  <c r="X11" i="7"/>
  <c r="Z10" i="7"/>
  <c r="V10" i="7"/>
  <c r="AC8" i="7"/>
  <c r="Z7" i="7"/>
  <c r="V7" i="7"/>
  <c r="AB6" i="7"/>
  <c r="X6" i="7"/>
  <c r="AC34" i="7"/>
  <c r="Y34" i="7"/>
  <c r="AC33" i="7"/>
  <c r="X33" i="7"/>
  <c r="AB32" i="7"/>
  <c r="V32" i="7"/>
  <c r="Z31" i="7"/>
  <c r="AC30" i="7"/>
  <c r="V29" i="7"/>
  <c r="Y28" i="7"/>
  <c r="AB27" i="7"/>
  <c r="AC25" i="7"/>
  <c r="V24" i="7"/>
  <c r="X21" i="7"/>
  <c r="X20" i="7"/>
  <c r="V19" i="7"/>
  <c r="AC17" i="7"/>
  <c r="Y15" i="7"/>
  <c r="AC12" i="7"/>
  <c r="AO6" i="7"/>
  <c r="AR9" i="7"/>
  <c r="AA5" i="8"/>
  <c r="AC7" i="8"/>
  <c r="AA6" i="8"/>
  <c r="AC21" i="8"/>
  <c r="AA20" i="8"/>
  <c r="AC17" i="8"/>
  <c r="AA16" i="8"/>
  <c r="AC13" i="8"/>
  <c r="AA12" i="8"/>
  <c r="AQ5" i="7"/>
  <c r="AB17" i="7"/>
  <c r="AQ9" i="7"/>
  <c r="AQ7" i="7"/>
  <c r="AB12" i="7"/>
  <c r="AB20" i="7"/>
  <c r="AB25" i="7"/>
  <c r="AB30" i="7"/>
  <c r="AB31" i="7"/>
  <c r="AQ8" i="7"/>
  <c r="AB13" i="7"/>
  <c r="AB16" i="7"/>
  <c r="AB22" i="7"/>
  <c r="AB23" i="7"/>
  <c r="AM5" i="7"/>
  <c r="X17" i="7"/>
  <c r="AM6" i="7"/>
  <c r="X15" i="7"/>
  <c r="X18" i="7"/>
  <c r="X25" i="7"/>
  <c r="X30" i="7"/>
  <c r="X31" i="7"/>
  <c r="X14" i="7"/>
  <c r="X19" i="7"/>
  <c r="X22" i="7"/>
  <c r="X23" i="7"/>
  <c r="AC10" i="7"/>
  <c r="Y10" i="7"/>
  <c r="Z9" i="7"/>
  <c r="V9" i="7"/>
  <c r="AB8" i="7"/>
  <c r="X8" i="7"/>
  <c r="AC7" i="7"/>
  <c r="U7" i="7"/>
  <c r="AB34" i="7"/>
  <c r="X34" i="7"/>
  <c r="AB33" i="7"/>
  <c r="Z32" i="7"/>
  <c r="V30" i="7"/>
  <c r="Z29" i="7"/>
  <c r="AC28" i="7"/>
  <c r="X28" i="7"/>
  <c r="Z27" i="7"/>
  <c r="Z26" i="7"/>
  <c r="AB24" i="7"/>
  <c r="AC23" i="7"/>
  <c r="AC22" i="7"/>
  <c r="V21" i="7"/>
  <c r="AB18" i="7"/>
  <c r="Z17" i="7"/>
  <c r="X16" i="7"/>
  <c r="AC13" i="7"/>
  <c r="Z12" i="7"/>
  <c r="W11" i="8"/>
  <c r="W13" i="8"/>
  <c r="W15" i="8"/>
  <c r="W17" i="8"/>
  <c r="W19" i="8"/>
  <c r="W21" i="8"/>
  <c r="W10" i="8"/>
  <c r="W7" i="8"/>
  <c r="W9" i="8"/>
  <c r="W12" i="8"/>
  <c r="W14" i="8"/>
  <c r="W16" i="8"/>
  <c r="W18" i="8"/>
  <c r="W20" i="8"/>
  <c r="W22" i="8"/>
  <c r="W6" i="8"/>
  <c r="W8" i="8"/>
  <c r="W5" i="8"/>
  <c r="AA7" i="8"/>
  <c r="AC22" i="8"/>
  <c r="AA21" i="8"/>
  <c r="AC18" i="8"/>
  <c r="AA17" i="8"/>
  <c r="Z15" i="9"/>
  <c r="Z17" i="9"/>
  <c r="Z19" i="9"/>
  <c r="Z18" i="9"/>
  <c r="Z16" i="9"/>
  <c r="Z14" i="9"/>
  <c r="V15" i="9"/>
  <c r="V17" i="9"/>
  <c r="V19" i="9"/>
  <c r="V20" i="9"/>
  <c r="V18" i="9"/>
  <c r="V16" i="9"/>
  <c r="V14" i="9"/>
  <c r="Z20" i="9"/>
  <c r="AB5" i="8"/>
  <c r="AB8" i="8"/>
  <c r="AB6" i="8"/>
  <c r="AB22" i="8"/>
  <c r="AB20" i="8"/>
  <c r="AB18" i="8"/>
  <c r="AB16" i="8"/>
  <c r="AB14" i="8"/>
  <c r="AB12" i="8"/>
  <c r="AC4" i="9"/>
  <c r="AC6" i="9"/>
  <c r="W18" i="9"/>
  <c r="AA16" i="9"/>
  <c r="AA15" i="9"/>
  <c r="Y6" i="9"/>
  <c r="Y4" i="9"/>
  <c r="Z4" i="9"/>
  <c r="AB16" i="9"/>
  <c r="AB18" i="9"/>
  <c r="AB20" i="9"/>
  <c r="AB14" i="9"/>
  <c r="X16" i="9"/>
  <c r="X18" i="9"/>
  <c r="X20" i="9"/>
  <c r="X14" i="9"/>
  <c r="T14" i="9"/>
  <c r="T15" i="9"/>
  <c r="T16" i="9"/>
  <c r="T18" i="9"/>
  <c r="T20" i="9"/>
  <c r="AB19" i="9"/>
  <c r="AA18" i="9"/>
  <c r="AA17" i="9"/>
  <c r="AB9" i="8"/>
  <c r="AB7" i="8"/>
  <c r="AB10" i="8"/>
  <c r="AB21" i="8"/>
  <c r="AB19" i="8"/>
  <c r="AB17" i="8"/>
  <c r="AB15" i="8"/>
  <c r="AB13" i="8"/>
  <c r="T17" i="9"/>
  <c r="X15" i="9"/>
  <c r="Z5" i="8"/>
  <c r="Z9" i="8"/>
  <c r="V9" i="8"/>
  <c r="Z8" i="8"/>
  <c r="Z7" i="8"/>
  <c r="V7" i="8"/>
  <c r="Z6" i="8"/>
  <c r="Z10" i="8"/>
  <c r="V10" i="8"/>
  <c r="Z22" i="8"/>
  <c r="Z21" i="8"/>
  <c r="V21" i="8"/>
  <c r="Z20" i="8"/>
  <c r="Z19" i="8"/>
  <c r="V19" i="8"/>
  <c r="Z18" i="8"/>
  <c r="Z17" i="8"/>
  <c r="V17" i="8"/>
  <c r="Z16" i="8"/>
  <c r="Z15" i="8"/>
  <c r="V15" i="8"/>
  <c r="Z14" i="8"/>
  <c r="Z13" i="8"/>
  <c r="V13" i="8"/>
  <c r="Z12" i="8"/>
  <c r="U15" i="9"/>
  <c r="R20" i="9"/>
  <c r="R13" i="7"/>
  <c r="R8" i="7"/>
  <c r="R6" i="7"/>
  <c r="R31" i="7"/>
  <c r="R23" i="7"/>
  <c r="R19" i="7"/>
  <c r="R15" i="7"/>
  <c r="U9" i="8"/>
  <c r="U8" i="8"/>
  <c r="U7" i="8"/>
  <c r="U6" i="8"/>
  <c r="Q10" i="8"/>
  <c r="U22" i="8"/>
  <c r="U21" i="8"/>
  <c r="U20" i="8"/>
  <c r="U19" i="8"/>
  <c r="U18" i="8"/>
  <c r="U17" i="8"/>
  <c r="U16" i="8"/>
  <c r="U15" i="8"/>
  <c r="U14" i="8"/>
  <c r="U13" i="8"/>
  <c r="U12" i="8"/>
  <c r="U11" i="8"/>
  <c r="Q5" i="8"/>
  <c r="U5" i="8"/>
  <c r="T9" i="8"/>
  <c r="T7" i="8"/>
  <c r="T6" i="8"/>
  <c r="T22" i="8"/>
  <c r="T20" i="8"/>
  <c r="T19" i="8"/>
  <c r="T18" i="8"/>
  <c r="T16" i="8"/>
  <c r="T15" i="8"/>
  <c r="T14" i="8"/>
  <c r="T12" i="8"/>
  <c r="T11" i="8"/>
  <c r="T5" i="8"/>
  <c r="R9" i="8"/>
  <c r="R8" i="8"/>
  <c r="R7" i="8"/>
  <c r="R6" i="8"/>
  <c r="R22" i="8"/>
  <c r="R21" i="8"/>
  <c r="R20" i="8"/>
  <c r="R19" i="8"/>
  <c r="R18" i="8"/>
  <c r="R17" i="8"/>
  <c r="R16" i="8"/>
  <c r="R15" i="8"/>
  <c r="R14" i="8"/>
  <c r="R13" i="8"/>
  <c r="R12" i="8"/>
  <c r="R11" i="8"/>
  <c r="R5" i="8"/>
  <c r="Q9" i="8"/>
  <c r="Q8" i="8"/>
  <c r="Q7" i="8"/>
  <c r="Q6" i="8"/>
  <c r="Q22" i="8"/>
  <c r="Q21" i="8"/>
  <c r="Q20" i="8"/>
  <c r="Q19" i="8"/>
  <c r="Q18" i="8"/>
  <c r="Q17" i="8"/>
  <c r="Q16" i="8"/>
  <c r="Q15" i="8"/>
  <c r="Q14" i="8"/>
  <c r="Q13" i="8"/>
  <c r="Q12" i="8"/>
  <c r="R19" i="9"/>
  <c r="R18" i="9"/>
  <c r="R17" i="9"/>
  <c r="R16" i="9"/>
  <c r="R15" i="9"/>
  <c r="Q17" i="9"/>
  <c r="U7" i="9"/>
  <c r="U4" i="9"/>
  <c r="U6" i="9"/>
  <c r="AI5" i="7"/>
  <c r="AI8" i="7"/>
  <c r="R5" i="7"/>
  <c r="Q11" i="7"/>
  <c r="Q10" i="7"/>
  <c r="Q9" i="7"/>
  <c r="Q8" i="7"/>
  <c r="Q7" i="7"/>
  <c r="Q6" i="7"/>
  <c r="Q34" i="7"/>
  <c r="Q33" i="7"/>
  <c r="Q32" i="7"/>
  <c r="Q31" i="7"/>
  <c r="Q30" i="7"/>
  <c r="Q29" i="7"/>
  <c r="Q28" i="7"/>
  <c r="Q27" i="7"/>
  <c r="Q26" i="7"/>
  <c r="Q25" i="7"/>
  <c r="Q24" i="7"/>
  <c r="Q23" i="7"/>
  <c r="Q22" i="7"/>
  <c r="Q21" i="7"/>
  <c r="Q20" i="7"/>
  <c r="Q19" i="7"/>
  <c r="Q18" i="7"/>
  <c r="Q17" i="7"/>
  <c r="Q16" i="7"/>
  <c r="Q15" i="7"/>
  <c r="Q14" i="7"/>
  <c r="Q13" i="7"/>
  <c r="Q12" i="7"/>
  <c r="AG5" i="7"/>
  <c r="AI6" i="7"/>
  <c r="AI7" i="7"/>
  <c r="AG8" i="7"/>
  <c r="AG9" i="7"/>
  <c r="Q5" i="7"/>
  <c r="U33" i="7"/>
  <c r="U32" i="7"/>
  <c r="U29" i="7"/>
  <c r="U28" i="7"/>
  <c r="U25" i="7"/>
  <c r="U24" i="7"/>
  <c r="U21" i="7"/>
  <c r="U20" i="7"/>
  <c r="U17" i="7"/>
  <c r="U16" i="7"/>
  <c r="U13" i="7"/>
  <c r="U12" i="7"/>
  <c r="AF5" i="7"/>
  <c r="AG6" i="7"/>
  <c r="AF9" i="7"/>
  <c r="T5" i="7"/>
  <c r="AI9" i="7"/>
  <c r="T11" i="7"/>
  <c r="T10" i="7"/>
  <c r="T9" i="7"/>
  <c r="T8" i="7"/>
  <c r="T7" i="7"/>
  <c r="T6" i="7"/>
  <c r="T34" i="7"/>
  <c r="T33" i="7"/>
  <c r="T32" i="7"/>
  <c r="T31" i="7"/>
  <c r="T30" i="7"/>
  <c r="T29" i="7"/>
  <c r="T28" i="7"/>
  <c r="T27" i="7"/>
  <c r="T26" i="7"/>
  <c r="T25" i="7"/>
  <c r="T24" i="7"/>
  <c r="T23" i="7"/>
  <c r="T22" i="7"/>
  <c r="T21" i="7"/>
  <c r="T20" i="7"/>
  <c r="T19" i="7"/>
  <c r="T18" i="7"/>
  <c r="T17" i="7"/>
  <c r="T16" i="7"/>
  <c r="T15" i="7"/>
  <c r="T14" i="7"/>
  <c r="T13" i="7"/>
  <c r="AJ5" i="7"/>
  <c r="AF6" i="7"/>
  <c r="AF7" i="7"/>
  <c r="R9" i="5"/>
  <c r="R26" i="5"/>
  <c r="R22" i="5"/>
  <c r="R18" i="5"/>
  <c r="R14" i="5"/>
  <c r="Q10" i="5"/>
  <c r="Q9" i="5"/>
  <c r="Q8" i="5"/>
  <c r="Q7" i="5"/>
  <c r="Q6" i="5"/>
  <c r="Q26" i="5"/>
  <c r="Q25" i="5"/>
  <c r="Q24" i="5"/>
  <c r="Q23" i="5"/>
  <c r="Q22" i="5"/>
  <c r="Q21" i="5"/>
  <c r="Q20" i="5"/>
  <c r="Q19" i="5"/>
  <c r="Q18" i="5"/>
  <c r="Q17" i="5"/>
  <c r="Q16" i="5"/>
  <c r="Q15" i="5"/>
  <c r="Q14" i="5"/>
  <c r="Q13" i="5"/>
  <c r="Q12" i="5"/>
  <c r="T10" i="4"/>
  <c r="T9" i="4"/>
  <c r="T8" i="4"/>
  <c r="T7" i="4"/>
  <c r="T6" i="4"/>
  <c r="R10" i="4"/>
  <c r="R9" i="4"/>
  <c r="R8" i="4"/>
  <c r="R7" i="4"/>
  <c r="R6" i="4"/>
  <c r="V5" i="4"/>
  <c r="V10" i="4"/>
  <c r="V9" i="4"/>
  <c r="V8" i="4"/>
  <c r="V7" i="4"/>
  <c r="T4" i="9"/>
  <c r="X7" i="9"/>
  <c r="AB6" i="9"/>
  <c r="T6" i="9"/>
  <c r="X5" i="9"/>
  <c r="X4" i="9"/>
  <c r="AB4" i="9"/>
  <c r="AB7" i="9"/>
  <c r="T7" i="9"/>
  <c r="AA7" i="9"/>
  <c r="W7" i="9"/>
  <c r="R7" i="9"/>
  <c r="AA6" i="9"/>
  <c r="W6" i="9"/>
  <c r="R6" i="9"/>
  <c r="AA5" i="9"/>
  <c r="W5" i="9"/>
  <c r="R5" i="9"/>
  <c r="Q7" i="9"/>
  <c r="Z6" i="9"/>
  <c r="Z13" i="2"/>
  <c r="Z8" i="2"/>
  <c r="AA18" i="2"/>
  <c r="W16" i="2"/>
  <c r="Z12" i="2"/>
  <c r="Z7" i="2"/>
  <c r="W18" i="2"/>
  <c r="V15" i="2"/>
  <c r="AA10" i="2"/>
  <c r="X6" i="2"/>
  <c r="Z19" i="2"/>
  <c r="Z18" i="2"/>
  <c r="AC17" i="2"/>
  <c r="AA16" i="2"/>
  <c r="V16" i="2"/>
  <c r="AB14" i="2"/>
  <c r="W14" i="2"/>
  <c r="V13" i="2"/>
  <c r="X12" i="2"/>
  <c r="Z11" i="2"/>
  <c r="Z10" i="2"/>
  <c r="V9" i="2"/>
  <c r="X8" i="2"/>
  <c r="V7" i="2"/>
  <c r="W6" i="2"/>
  <c r="V19" i="2"/>
  <c r="X18" i="2"/>
  <c r="Z17" i="2"/>
  <c r="Z16" i="2"/>
  <c r="AC15" i="2"/>
  <c r="AA14" i="2"/>
  <c r="V14" i="2"/>
  <c r="AB12" i="2"/>
  <c r="W12" i="2"/>
  <c r="V11" i="2"/>
  <c r="W10" i="2"/>
  <c r="AB8" i="2"/>
  <c r="W8" i="2"/>
  <c r="AA6" i="2"/>
  <c r="V6" i="2"/>
  <c r="AC19" i="2"/>
  <c r="AC11" i="2"/>
  <c r="AB18" i="2"/>
  <c r="V17" i="2"/>
  <c r="Z15" i="2"/>
  <c r="Z14" i="2"/>
  <c r="AA12" i="2"/>
  <c r="V12" i="2"/>
  <c r="V10" i="2"/>
  <c r="AA8" i="2"/>
  <c r="Z6" i="2"/>
  <c r="AC6" i="2"/>
  <c r="AC8" i="2"/>
  <c r="AC10" i="2"/>
  <c r="AC12" i="2"/>
  <c r="AC14" i="2"/>
  <c r="AC16" i="2"/>
  <c r="AC18" i="2"/>
  <c r="AC5" i="2"/>
  <c r="AC7" i="2"/>
  <c r="AC9" i="2"/>
  <c r="Y10" i="2"/>
  <c r="Y5" i="2"/>
  <c r="AB5" i="2"/>
  <c r="AB7" i="2"/>
  <c r="AB9" i="2"/>
  <c r="AB11" i="2"/>
  <c r="AB13" i="2"/>
  <c r="AB15" i="2"/>
  <c r="AB17" i="2"/>
  <c r="AB19" i="2"/>
  <c r="X5" i="2"/>
  <c r="X7" i="2"/>
  <c r="X9" i="2"/>
  <c r="X11" i="2"/>
  <c r="X13" i="2"/>
  <c r="X15" i="2"/>
  <c r="X17" i="2"/>
  <c r="X19" i="2"/>
  <c r="Y19" i="2"/>
  <c r="Y11" i="2"/>
  <c r="AB6" i="2"/>
  <c r="X10" i="2"/>
  <c r="AA19" i="2"/>
  <c r="W19" i="2"/>
  <c r="AA17" i="2"/>
  <c r="W17" i="2"/>
  <c r="AA15" i="2"/>
  <c r="W15" i="2"/>
  <c r="AA13" i="2"/>
  <c r="W13" i="2"/>
  <c r="AA11" i="2"/>
  <c r="W11" i="2"/>
  <c r="AA9" i="2"/>
  <c r="W9" i="2"/>
  <c r="AA7" i="2"/>
  <c r="W7" i="2"/>
  <c r="C20" i="2"/>
  <c r="R5" i="2" s="1"/>
  <c r="E20" i="2"/>
  <c r="T5" i="2" s="1"/>
  <c r="F20" i="2"/>
  <c r="U12" i="2" s="1"/>
  <c r="B20" i="2"/>
  <c r="Q7" i="2" s="1"/>
  <c r="Q6" i="4"/>
  <c r="Q7" i="4"/>
  <c r="Q8" i="4"/>
  <c r="Q9" i="4"/>
  <c r="Q10" i="4"/>
  <c r="Q5" i="4"/>
  <c r="R14" i="2"/>
  <c r="Q6" i="2"/>
  <c r="U6" i="2"/>
  <c r="U8" i="2"/>
  <c r="U10" i="2"/>
  <c r="U14" i="2"/>
  <c r="U16" i="2"/>
  <c r="U18" i="2"/>
  <c r="U7" i="2"/>
  <c r="U9" i="2"/>
  <c r="U11" i="2"/>
  <c r="U15" i="2"/>
  <c r="U17" i="2"/>
  <c r="U19" i="2"/>
  <c r="T7" i="2"/>
  <c r="T9" i="2"/>
  <c r="T11" i="2"/>
  <c r="T15" i="2"/>
  <c r="T17" i="2"/>
  <c r="T19" i="2"/>
  <c r="T12" i="2"/>
  <c r="T14" i="2"/>
  <c r="T16" i="2"/>
  <c r="T10" i="2"/>
  <c r="T6" i="2"/>
  <c r="Y5" i="4" l="1"/>
  <c r="Y7" i="4"/>
  <c r="U8" i="4"/>
  <c r="U5" i="4"/>
  <c r="U10" i="4"/>
  <c r="U6" i="4"/>
  <c r="AB14" i="5"/>
  <c r="AB13" i="5"/>
  <c r="AB15" i="5"/>
  <c r="AB26" i="5"/>
  <c r="AB24" i="5"/>
  <c r="AB18" i="5"/>
  <c r="AB19" i="5"/>
  <c r="X22" i="5"/>
  <c r="X12" i="5"/>
  <c r="X20" i="5"/>
  <c r="X13" i="5"/>
  <c r="X15" i="5"/>
  <c r="X9" i="5"/>
  <c r="X7" i="5"/>
  <c r="X16" i="5"/>
  <c r="Q4" i="9"/>
  <c r="Q5" i="9"/>
  <c r="Q16" i="2"/>
  <c r="Y15" i="2"/>
  <c r="Y18" i="2"/>
  <c r="Q6" i="9"/>
  <c r="V7" i="9"/>
  <c r="R11" i="5"/>
  <c r="R15" i="5"/>
  <c r="R19" i="5"/>
  <c r="R23" i="5"/>
  <c r="R6" i="5"/>
  <c r="R10" i="5"/>
  <c r="Q18" i="9"/>
  <c r="Q14" i="9"/>
  <c r="Y15" i="8"/>
  <c r="X19" i="5"/>
  <c r="AB10" i="5"/>
  <c r="R12" i="7"/>
  <c r="W7" i="7"/>
  <c r="AL5" i="7"/>
  <c r="Y8" i="5"/>
  <c r="AC5" i="5"/>
  <c r="AB16" i="5"/>
  <c r="AB22" i="5"/>
  <c r="AB7" i="5"/>
  <c r="Y14" i="5"/>
  <c r="AC20" i="5"/>
  <c r="AC15" i="5"/>
  <c r="AA25" i="7"/>
  <c r="W10" i="4"/>
  <c r="AC26" i="5"/>
  <c r="U23" i="5"/>
  <c r="U7" i="5"/>
  <c r="U24" i="5"/>
  <c r="U25" i="5"/>
  <c r="U13" i="5"/>
  <c r="U8" i="5"/>
  <c r="U5" i="5"/>
  <c r="AA22" i="5"/>
  <c r="AA5" i="5"/>
  <c r="AA23" i="5"/>
  <c r="AA26" i="5"/>
  <c r="AA10" i="5"/>
  <c r="AA6" i="5"/>
  <c r="AA9" i="5"/>
  <c r="W24" i="5"/>
  <c r="W23" i="5"/>
  <c r="W7" i="5"/>
  <c r="W6" i="5"/>
  <c r="W10" i="5"/>
  <c r="AC5" i="9"/>
  <c r="AC7" i="9"/>
  <c r="Y5" i="9"/>
  <c r="Y7" i="9"/>
  <c r="AC20" i="9"/>
  <c r="AC17" i="9"/>
  <c r="AC15" i="9"/>
  <c r="Y14" i="9"/>
  <c r="Y16" i="9"/>
  <c r="Y17" i="9"/>
  <c r="K7" i="35"/>
  <c r="E22" i="35" s="1"/>
  <c r="K8" i="35"/>
  <c r="E23" i="35" s="1"/>
  <c r="K6" i="35"/>
  <c r="E21" i="35" s="1"/>
  <c r="R18" i="2"/>
  <c r="U13" i="2"/>
  <c r="U5" i="2"/>
  <c r="Q10" i="2"/>
  <c r="Q19" i="2"/>
  <c r="Y17" i="2"/>
  <c r="Y12" i="2"/>
  <c r="V6" i="9"/>
  <c r="Z7" i="9"/>
  <c r="V4" i="9"/>
  <c r="R12" i="5"/>
  <c r="R16" i="5"/>
  <c r="R20" i="5"/>
  <c r="R24" i="5"/>
  <c r="R7" i="5"/>
  <c r="Q19" i="9"/>
  <c r="Q5" i="5"/>
  <c r="R27" i="7"/>
  <c r="R10" i="7"/>
  <c r="V12" i="8"/>
  <c r="V14" i="8"/>
  <c r="V16" i="8"/>
  <c r="V18" i="8"/>
  <c r="V20" i="8"/>
  <c r="V22" i="8"/>
  <c r="V6" i="8"/>
  <c r="V8" i="8"/>
  <c r="V5" i="8"/>
  <c r="AA20" i="9"/>
  <c r="AA14" i="9"/>
  <c r="Y20" i="7"/>
  <c r="Y8" i="8"/>
  <c r="W31" i="7"/>
  <c r="X23" i="5"/>
  <c r="X25" i="5"/>
  <c r="X5" i="5"/>
  <c r="W17" i="5"/>
  <c r="W22" i="5"/>
  <c r="W14" i="5"/>
  <c r="AA15" i="5"/>
  <c r="AA18" i="5"/>
  <c r="U20" i="5"/>
  <c r="U12" i="5"/>
  <c r="U15" i="5"/>
  <c r="W30" i="7"/>
  <c r="AB11" i="5"/>
  <c r="Y23" i="5"/>
  <c r="U6" i="5"/>
  <c r="W9" i="5"/>
  <c r="X18" i="5"/>
  <c r="AB12" i="5"/>
  <c r="X26" i="5"/>
  <c r="Y21" i="5"/>
  <c r="AC16" i="5"/>
  <c r="AC11" i="5"/>
  <c r="AA31" i="7"/>
  <c r="AC18" i="9"/>
  <c r="AC16" i="9"/>
  <c r="W5" i="5"/>
  <c r="AA8" i="4"/>
  <c r="AA6" i="4"/>
  <c r="T19" i="5"/>
  <c r="T26" i="5"/>
  <c r="T24" i="5"/>
  <c r="T12" i="5"/>
  <c r="T20" i="5"/>
  <c r="T11" i="5"/>
  <c r="T15" i="5"/>
  <c r="T16" i="5"/>
  <c r="Z8" i="5"/>
  <c r="Z6" i="5"/>
  <c r="Z13" i="5"/>
  <c r="Z21" i="5"/>
  <c r="Z18" i="5"/>
  <c r="Z17" i="5"/>
  <c r="Z20" i="5"/>
  <c r="Q17" i="2"/>
  <c r="Q15" i="2"/>
  <c r="R13" i="5"/>
  <c r="R17" i="5"/>
  <c r="R21" i="5"/>
  <c r="R25" i="5"/>
  <c r="R8" i="5"/>
  <c r="Q16" i="9"/>
  <c r="Q20" i="9"/>
  <c r="Y18" i="8"/>
  <c r="AB23" i="5"/>
  <c r="AB25" i="5"/>
  <c r="X6" i="5"/>
  <c r="X8" i="5"/>
  <c r="AB5" i="5"/>
  <c r="X14" i="5"/>
  <c r="AB9" i="5"/>
  <c r="U7" i="4"/>
  <c r="AB21" i="5"/>
  <c r="X17" i="5"/>
  <c r="W7" i="4"/>
  <c r="W8" i="4"/>
  <c r="W9" i="4"/>
  <c r="AC9" i="5"/>
  <c r="AC24" i="5"/>
  <c r="AC13" i="5"/>
  <c r="AC21" i="5"/>
  <c r="AC18" i="5"/>
  <c r="AC8" i="5"/>
  <c r="AC22" i="5"/>
  <c r="AC17" i="5"/>
  <c r="AC14" i="5"/>
  <c r="AC25" i="5"/>
  <c r="AC23" i="5"/>
  <c r="Y22" i="5"/>
  <c r="Y15" i="5"/>
  <c r="Y12" i="5"/>
  <c r="Y20" i="5"/>
  <c r="Y10" i="5"/>
  <c r="Y7" i="5"/>
  <c r="Y24" i="5"/>
  <c r="Y11" i="5"/>
  <c r="Y19" i="5"/>
  <c r="Y16" i="5"/>
  <c r="Y5" i="5"/>
  <c r="Y6" i="5"/>
  <c r="AA14" i="7"/>
  <c r="AA24" i="7"/>
  <c r="AA16" i="7"/>
  <c r="AA10" i="7"/>
  <c r="AA12" i="7"/>
  <c r="AA27" i="7"/>
  <c r="AA6" i="7"/>
  <c r="AA20" i="7"/>
  <c r="AA22" i="7"/>
  <c r="W20" i="7"/>
  <c r="W24" i="7"/>
  <c r="W22" i="7"/>
  <c r="W18" i="7"/>
  <c r="W32" i="7"/>
  <c r="W6" i="7"/>
  <c r="W25" i="7"/>
  <c r="AG7" i="7"/>
  <c r="R26" i="7"/>
  <c r="R28" i="7"/>
  <c r="R29" i="7"/>
  <c r="R25" i="7"/>
  <c r="S8" i="4"/>
  <c r="S7" i="5"/>
  <c r="S11" i="5"/>
  <c r="S15" i="5"/>
  <c r="S20" i="5"/>
  <c r="S25" i="5"/>
  <c r="S7" i="7"/>
  <c r="S11" i="7"/>
  <c r="S15" i="7"/>
  <c r="S19" i="7"/>
  <c r="S23" i="7"/>
  <c r="S28" i="7"/>
  <c r="S33" i="7"/>
  <c r="AH8" i="7"/>
  <c r="S18" i="9"/>
  <c r="S5" i="5"/>
  <c r="S9" i="5"/>
  <c r="S13" i="5"/>
  <c r="S17" i="5"/>
  <c r="S23" i="5"/>
  <c r="S5" i="7"/>
  <c r="S9" i="7"/>
  <c r="S13" i="7"/>
  <c r="S17" i="7"/>
  <c r="S21" i="7"/>
  <c r="S25" i="7"/>
  <c r="S30" i="7"/>
  <c r="AH6" i="7"/>
  <c r="S21" i="8"/>
  <c r="S17" i="8"/>
  <c r="S13" i="8"/>
  <c r="S9" i="8"/>
  <c r="S5" i="8"/>
  <c r="S20" i="8"/>
  <c r="S16" i="8"/>
  <c r="S12" i="8"/>
  <c r="S8" i="8"/>
  <c r="S19" i="8"/>
  <c r="S15" i="8"/>
  <c r="S11" i="8"/>
  <c r="S7" i="8"/>
  <c r="S22" i="8"/>
  <c r="S18" i="8"/>
  <c r="S14" i="8"/>
  <c r="S10" i="8"/>
  <c r="S6" i="8"/>
  <c r="S6" i="9"/>
  <c r="S5" i="9"/>
  <c r="S4" i="9"/>
  <c r="S7" i="9"/>
  <c r="R17" i="2"/>
  <c r="AC5" i="4"/>
  <c r="AC9" i="4"/>
  <c r="AC7" i="4"/>
  <c r="AC10" i="4"/>
  <c r="AC8" i="4"/>
  <c r="AC6" i="4"/>
  <c r="Y14" i="7"/>
  <c r="Y9" i="7"/>
  <c r="Y32" i="7"/>
  <c r="Y25" i="7"/>
  <c r="Y5" i="7"/>
  <c r="U9" i="7"/>
  <c r="U6" i="7"/>
  <c r="W15" i="9"/>
  <c r="W16" i="9"/>
  <c r="Y7" i="7"/>
  <c r="Y27" i="7"/>
  <c r="Y17" i="7"/>
  <c r="Y29" i="7"/>
  <c r="Y16" i="7"/>
  <c r="Y21" i="8"/>
  <c r="Y13" i="8"/>
  <c r="Y6" i="8"/>
  <c r="Y16" i="8"/>
  <c r="Y19" i="7"/>
  <c r="Y30" i="7"/>
  <c r="U11" i="7"/>
  <c r="Y8" i="4"/>
  <c r="W14" i="9"/>
  <c r="AB6" i="4"/>
  <c r="AB5" i="4"/>
  <c r="X10" i="4"/>
  <c r="X8" i="4"/>
  <c r="X6" i="4"/>
  <c r="X9" i="4"/>
  <c r="X7" i="4"/>
  <c r="V17" i="5"/>
  <c r="V8" i="5"/>
  <c r="V18" i="5"/>
  <c r="V7" i="5"/>
  <c r="V13" i="5"/>
  <c r="V21" i="5"/>
  <c r="V25" i="5"/>
  <c r="V24" i="5"/>
  <c r="AM7" i="7"/>
  <c r="X10" i="7"/>
  <c r="AM9" i="7"/>
  <c r="X7" i="7"/>
  <c r="X12" i="7"/>
  <c r="X11" i="8"/>
  <c r="X18" i="8"/>
  <c r="X7" i="8"/>
  <c r="X19" i="8"/>
  <c r="X10" i="8"/>
  <c r="X12" i="8"/>
  <c r="X17" i="8"/>
  <c r="X21" i="8"/>
  <c r="X6" i="8"/>
  <c r="X14" i="8"/>
  <c r="H8" i="35"/>
  <c r="B23" i="35" s="1"/>
  <c r="H7" i="35"/>
  <c r="B22" i="35" s="1"/>
  <c r="H6" i="35"/>
  <c r="B21" i="35" s="1"/>
  <c r="S18" i="2"/>
  <c r="S14" i="2"/>
  <c r="S10" i="2"/>
  <c r="S6" i="2"/>
  <c r="S17" i="2"/>
  <c r="S13" i="2"/>
  <c r="S9" i="2"/>
  <c r="S5" i="2"/>
  <c r="S19" i="2"/>
  <c r="S15" i="2"/>
  <c r="S11" i="2"/>
  <c r="S7" i="2"/>
  <c r="R12" i="2"/>
  <c r="T18" i="2"/>
  <c r="T8" i="2"/>
  <c r="T13" i="2"/>
  <c r="Q13" i="2"/>
  <c r="Q9" i="2"/>
  <c r="Q12" i="2"/>
  <c r="Q11" i="2"/>
  <c r="R19" i="2"/>
  <c r="R15" i="2"/>
  <c r="R9" i="2"/>
  <c r="R8" i="2"/>
  <c r="Y13" i="2"/>
  <c r="Y9" i="2"/>
  <c r="Y16" i="2"/>
  <c r="Y8" i="2"/>
  <c r="AJ8" i="7"/>
  <c r="U5" i="7"/>
  <c r="U14" i="7"/>
  <c r="U18" i="7"/>
  <c r="U22" i="7"/>
  <c r="U26" i="7"/>
  <c r="U30" i="7"/>
  <c r="U34" i="7"/>
  <c r="T13" i="8"/>
  <c r="T17" i="8"/>
  <c r="T21" i="8"/>
  <c r="W19" i="9"/>
  <c r="AJ7" i="7"/>
  <c r="U8" i="7"/>
  <c r="Y26" i="7"/>
  <c r="Y12" i="7"/>
  <c r="Y24" i="7"/>
  <c r="AN6" i="7"/>
  <c r="Y9" i="8"/>
  <c r="Y19" i="8"/>
  <c r="Y11" i="8"/>
  <c r="Y22" i="8"/>
  <c r="Y14" i="8"/>
  <c r="Y11" i="7"/>
  <c r="Y9" i="4"/>
  <c r="AA5" i="4"/>
  <c r="AA7" i="4"/>
  <c r="AA10" i="4"/>
  <c r="AA19" i="7"/>
  <c r="AA26" i="7"/>
  <c r="AA15" i="7"/>
  <c r="AA30" i="7"/>
  <c r="AP5" i="7"/>
  <c r="AP7" i="7"/>
  <c r="AA7" i="7"/>
  <c r="AA23" i="7"/>
  <c r="AA8" i="7"/>
  <c r="AA33" i="7"/>
  <c r="AA13" i="7"/>
  <c r="AA17" i="7"/>
  <c r="AA32" i="7"/>
  <c r="AP9" i="7"/>
  <c r="AA11" i="7"/>
  <c r="AA29" i="7"/>
  <c r="AA28" i="7"/>
  <c r="AA34" i="7"/>
  <c r="AP8" i="7"/>
  <c r="W28" i="7"/>
  <c r="W19" i="7"/>
  <c r="W21" i="7"/>
  <c r="AL8" i="7"/>
  <c r="AL6" i="7"/>
  <c r="W11" i="7"/>
  <c r="W23" i="7"/>
  <c r="W29" i="7"/>
  <c r="W34" i="7"/>
  <c r="W13" i="7"/>
  <c r="AL7" i="7"/>
  <c r="W27" i="7"/>
  <c r="W16" i="7"/>
  <c r="W33" i="7"/>
  <c r="W14" i="7"/>
  <c r="W9" i="7"/>
  <c r="W10" i="7"/>
  <c r="W17" i="7"/>
  <c r="R16" i="7"/>
  <c r="R34" i="7"/>
  <c r="R20" i="7"/>
  <c r="R11" i="7"/>
  <c r="R9" i="7"/>
  <c r="R7" i="7"/>
  <c r="R33" i="7"/>
  <c r="R24" i="7"/>
  <c r="R21" i="7"/>
  <c r="R32" i="7"/>
  <c r="R17" i="7"/>
  <c r="Y20" i="9"/>
  <c r="Y18" i="9"/>
  <c r="Y15" i="9"/>
  <c r="L8" i="35"/>
  <c r="F23" i="35" s="1"/>
  <c r="L6" i="35"/>
  <c r="F21" i="35" s="1"/>
  <c r="L7" i="35"/>
  <c r="F22" i="35" s="1"/>
  <c r="S8" i="2"/>
  <c r="R16" i="2"/>
  <c r="R6" i="2"/>
  <c r="R10" i="2"/>
  <c r="R13" i="2"/>
  <c r="Q5" i="2"/>
  <c r="Q18" i="2"/>
  <c r="Q14" i="2"/>
  <c r="Q8" i="2"/>
  <c r="R11" i="2"/>
  <c r="R7" i="2"/>
  <c r="Y7" i="2"/>
  <c r="Y14" i="2"/>
  <c r="U15" i="7"/>
  <c r="U19" i="7"/>
  <c r="U23" i="7"/>
  <c r="U27" i="7"/>
  <c r="U31" i="7"/>
  <c r="W17" i="9"/>
  <c r="AN5" i="7"/>
  <c r="Y31" i="7"/>
  <c r="U10" i="7"/>
  <c r="Y8" i="7"/>
  <c r="AJ6" i="7"/>
  <c r="Y21" i="7"/>
  <c r="AN7" i="7"/>
  <c r="Y13" i="7"/>
  <c r="Y7" i="8"/>
  <c r="Y17" i="8"/>
  <c r="Y5" i="8"/>
  <c r="Y20" i="8"/>
  <c r="Y22" i="7"/>
  <c r="Y6" i="7"/>
  <c r="Y6" i="4"/>
  <c r="Y10" i="4"/>
  <c r="V8" i="2"/>
  <c r="V5" i="2"/>
  <c r="Z10" i="4"/>
  <c r="Z8" i="4"/>
  <c r="Z6" i="4"/>
  <c r="Z5" i="4"/>
  <c r="Z9" i="4"/>
  <c r="Z7" i="4"/>
  <c r="Z13" i="7"/>
  <c r="Z11" i="7"/>
  <c r="Z24" i="7"/>
  <c r="AO8" i="7"/>
  <c r="Z20" i="7"/>
  <c r="Z22" i="7"/>
  <c r="Z18" i="7"/>
  <c r="Z5" i="7"/>
  <c r="Z14" i="7"/>
  <c r="Z16" i="7"/>
  <c r="Z28" i="7"/>
  <c r="V6" i="7"/>
  <c r="AK5" i="7"/>
  <c r="AK7" i="7"/>
  <c r="V12" i="7"/>
  <c r="V28" i="7"/>
  <c r="V25" i="7"/>
  <c r="V16" i="7"/>
  <c r="V11" i="7"/>
  <c r="AK9" i="7"/>
  <c r="V15" i="7"/>
  <c r="V22" i="7"/>
  <c r="AK6" i="7"/>
  <c r="AC9" i="7"/>
  <c r="AC32" i="7"/>
  <c r="AR7" i="7"/>
  <c r="S12" i="2"/>
  <c r="S16" i="9"/>
  <c r="S5" i="4"/>
  <c r="S9" i="4"/>
  <c r="S18" i="5"/>
  <c r="S22" i="5"/>
  <c r="S27" i="7"/>
  <c r="S31" i="7"/>
  <c r="AH5" i="7"/>
  <c r="S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47" authorId="0" shapeId="0" xr:uid="{00000000-0006-0000-0100-000001000000}">
      <text>
        <r>
          <rPr>
            <b/>
            <sz val="10"/>
            <color rgb="FF000000"/>
            <rFont val="Tahoma"/>
            <family val="2"/>
          </rPr>
          <t>Author:</t>
        </r>
        <r>
          <rPr>
            <sz val="10"/>
            <color rgb="FF000000"/>
            <rFont val="Tahoma"/>
            <family val="2"/>
          </rPr>
          <t xml:space="preserve">
Should the title of the figures say "Table 1b" since it's referring to the data table, or figure?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9" authorId="0" shapeId="0" xr:uid="{00000000-0006-0000-0B00-000001000000}">
      <text>
        <r>
          <rPr>
            <sz val="10"/>
            <color rgb="FF000000"/>
            <rFont val="Tahoma"/>
            <family val="2"/>
          </rPr>
          <t xml:space="preserve">Author:
</t>
        </r>
        <r>
          <rPr>
            <sz val="10"/>
            <color rgb="FF000000"/>
            <rFont val="Tahoma"/>
            <family val="2"/>
          </rPr>
          <t>In the state sheets this is listed by manner type..not sure if this is correct or not</t>
        </r>
      </text>
    </comment>
    <comment ref="G40" authorId="0" shapeId="0" xr:uid="{00000000-0006-0000-0B00-000002000000}">
      <text>
        <r>
          <rPr>
            <sz val="10"/>
            <color rgb="FF000000"/>
            <rFont val="Tahoma"/>
            <family val="2"/>
          </rPr>
          <t xml:space="preserve">Author:
</t>
        </r>
        <r>
          <rPr>
            <sz val="10"/>
            <color rgb="FF000000"/>
            <rFont val="Tahoma"/>
            <family val="2"/>
          </rPr>
          <t>Not sure if it's the same coding</t>
        </r>
      </text>
    </comment>
  </commentList>
</comments>
</file>

<file path=xl/sharedStrings.xml><?xml version="1.0" encoding="utf-8"?>
<sst xmlns="http://schemas.openxmlformats.org/spreadsheetml/2006/main" count="4325" uniqueCount="498">
  <si>
    <t>Frequency</t>
  </si>
  <si>
    <t>Montana Hospital Discharge Data System; Oct 1, 2015-Dec 31, 2016</t>
  </si>
  <si>
    <t>Table 3. Frequency of intent of the drug overdose</t>
  </si>
  <si>
    <t>Frequency of Intent (Manner), CSTE Working Case Definition of Drug Poisoning (Allowing Sequale and Unknown Encounter Types)</t>
  </si>
  <si>
    <t>First Listed Manner / Mechanism Non-Drug Poisoning External Cause Code,CSTE Working Case Definition of Drug Poisoning</t>
  </si>
  <si>
    <t>Table 6: For Records with Any Mention, Field of First Mention</t>
  </si>
  <si>
    <t>Position of First Drug Poisoning Code, Any Mention of Drug Poisoning,CSTE Working Case Definition of Drug Poisoning</t>
  </si>
  <si>
    <t>Chapter of Primary Diagnosis, Any Mention of Drug Poisoning,CSTE Working Case Definition of Drug Poisoning</t>
  </si>
  <si>
    <t>A00-B99: Infectious and parasitic diseases</t>
  </si>
  <si>
    <t>C00-D49: Neoplasms</t>
  </si>
  <si>
    <t>D50-D89: Diseases of the blood and blood-forming organs, certain immunity disorders</t>
  </si>
  <si>
    <t>E00-E89: Endocrine, nutritional and metabolic diseases</t>
  </si>
  <si>
    <t>F01-F99: Mental disorders</t>
  </si>
  <si>
    <t>G00-G99: Diseases of the nervous system</t>
  </si>
  <si>
    <t>I00-I99: Diseases of the circulatory system</t>
  </si>
  <si>
    <t>J00-J99: Diseases of the respiratory system</t>
  </si>
  <si>
    <t>K00-K95: Diseases of the digestive system</t>
  </si>
  <si>
    <t>L00-L99: Diseases of the skin and subcutaneous tissue</t>
  </si>
  <si>
    <t>M00-M99: Diseases of the musculoskeletal system and connective tissue</t>
  </si>
  <si>
    <t>N00-N99: Diseases of the genitourinary system</t>
  </si>
  <si>
    <t>O00-O9B: Complications of pregnancy, childbirth, and the puerperium</t>
  </si>
  <si>
    <t>R00-R99: Symptoms, signs, and ill-defined conditions</t>
  </si>
  <si>
    <t>S00-T88: Injury, poisoning, and certain other consequences of external causes</t>
  </si>
  <si>
    <t>T51-T65: Toxic effects of substances chiefly nonmedicinal as to source</t>
  </si>
  <si>
    <t>W00-W19: Slipping, tripping, stumbling and falls</t>
  </si>
  <si>
    <t>T14-T14: Injuries of unspecified body region</t>
  </si>
  <si>
    <t>X52-X58: Accidental exposure to other specified factors</t>
  </si>
  <si>
    <t>X71-X83: Intentional self-harm</t>
  </si>
  <si>
    <t>X92-Y09: Assault</t>
  </si>
  <si>
    <t>X30-X39: Exposure to forces of nature</t>
  </si>
  <si>
    <t>T66-T78: Other and unspecified effects of external causes</t>
  </si>
  <si>
    <t>V80-V89: Other land transport accidents</t>
  </si>
  <si>
    <t>W20-W49: Exposure to inanimate mechanical forces</t>
  </si>
  <si>
    <t>W50-W64: Exposure to animate mechanical forces</t>
  </si>
  <si>
    <t>Y21-Y33: Event of undetermined event</t>
  </si>
  <si>
    <t>V40-V49: Car occupant injured in transport accident</t>
  </si>
  <si>
    <t>X10-X19: Contact with heat and hot substances</t>
  </si>
  <si>
    <t>Y35-Y38: Legal intervention, operations of war, military operations, and terrorism</t>
  </si>
  <si>
    <t>1 Unintentional</t>
  </si>
  <si>
    <t>3 Assault</t>
  </si>
  <si>
    <t>4 Undetermined</t>
  </si>
  <si>
    <t>The FREQ Procedure</t>
  </si>
  <si>
    <t>2 Self-Harm</t>
  </si>
  <si>
    <t>5 Adverse Effect</t>
  </si>
  <si>
    <t>6 Underdose</t>
  </si>
  <si>
    <t>______Mental disorders due to known physiological conditions</t>
  </si>
  <si>
    <t>______Mental and behavioral disorders due to psychoactive substance use</t>
  </si>
  <si>
    <t>______Schizophrenia, schizotypal, delusional, and other non-mood psychotic disorders</t>
  </si>
  <si>
    <t>______Mood [affective] disorders</t>
  </si>
  <si>
    <t>______Anxiety, dissociative, stress-related, somatoform and other nonpsychotic mental disorders</t>
  </si>
  <si>
    <t>______Behavioral syndromes associated with physiological disturbances and physical factors</t>
  </si>
  <si>
    <t>______Disorders of adult personality and behavior</t>
  </si>
  <si>
    <t>______Behavioral and emotional disorders with onset usually occurring in childhood and adolescence</t>
  </si>
  <si>
    <t>1Unintentional</t>
  </si>
  <si>
    <t>Missing</t>
  </si>
  <si>
    <t>Juridiction</t>
  </si>
  <si>
    <t>Date Submitted</t>
  </si>
  <si>
    <t>Number of Primary and Secondary Fields</t>
  </si>
  <si>
    <t>Colorado</t>
  </si>
  <si>
    <t>Kentucky</t>
  </si>
  <si>
    <t>New Mexico</t>
  </si>
  <si>
    <t>Table 0: Information_About_Jurisdictions</t>
  </si>
  <si>
    <t>Percent</t>
  </si>
  <si>
    <t>Date Range</t>
  </si>
  <si>
    <t>Note</t>
  </si>
  <si>
    <t>A: initial encounter</t>
  </si>
  <si>
    <t>D: subsequential encounter</t>
  </si>
  <si>
    <t>S: sequela</t>
  </si>
  <si>
    <t>No Other External Cause Code</t>
  </si>
  <si>
    <t>T15-T19: Effects of foreign body entering through natural orifice</t>
  </si>
  <si>
    <t>V00-V09: Pedestrian injured in transport accident</t>
  </si>
  <si>
    <t>V10-V19: Pedal cycle rider injured in transport accident</t>
  </si>
  <si>
    <t>W85-W99: Exposure to electric current, radiation and extreme ambient air temperature and pressure</t>
  </si>
  <si>
    <t>X00-X08: Exposure to smoke, fire and flames</t>
  </si>
  <si>
    <t>V20-V29: Motorcycle rider injured in transport accident</t>
  </si>
  <si>
    <t>Table 1b. Frequency of individual drug T-codes</t>
  </si>
  <si>
    <t>Position</t>
  </si>
  <si>
    <t>H00-H59: Diseases of the eye and adnexa</t>
  </si>
  <si>
    <t>Q00-Q99: Congenital malformations, deformations and chromosomal anomalies</t>
  </si>
  <si>
    <t>Z00-Z99: Factors influencing health status and contact with health services</t>
  </si>
  <si>
    <t>Total</t>
  </si>
  <si>
    <r>
      <t>Frequency Distribution of Individual Drug Poisoning Codes</t>
    </r>
    <r>
      <rPr>
        <sz val="11"/>
        <color theme="1"/>
        <rFont val="Calibri"/>
        <family val="2"/>
        <scheme val="minor"/>
      </rPr>
      <t>, CSTE Working Case Definition of Drug Poisoning</t>
    </r>
  </si>
  <si>
    <t>Table 11: Individuals who Expired</t>
  </si>
  <si>
    <t xml:space="preserve">Expired </t>
  </si>
  <si>
    <t>Non-Expired</t>
  </si>
  <si>
    <t>systemic antibiotics</t>
  </si>
  <si>
    <t xml:space="preserve">Poisoning by, adverse effect of and underdosing of </t>
  </si>
  <si>
    <t>other systemic anti- infectives and antiparasitics</t>
  </si>
  <si>
    <t>hormones and their synthetic substitutes and antagonists, not elsewhere classified</t>
  </si>
  <si>
    <t>nonopioid analgesics, antipyretics and antirheumatics</t>
  </si>
  <si>
    <t>narcotics and psychodysleptics [hallucinogens]</t>
  </si>
  <si>
    <t>anesthetics and therapeutic gases</t>
  </si>
  <si>
    <t>antiepileptic, sedative- hypnotic and antiparkinsonism drugs</t>
  </si>
  <si>
    <t>psychotropic drugs, not elsewhere classified</t>
  </si>
  <si>
    <t>drugs primarily affecting the autonomic nervous system</t>
  </si>
  <si>
    <t>primarily systemic and hematological agents, not elsewhere classified</t>
  </si>
  <si>
    <t>agents primarily affecting the cardiovascular system</t>
  </si>
  <si>
    <t>agents primarily affecting the gastrointestinal system</t>
  </si>
  <si>
    <t>agents primarily acting on smooth and skeletal muscles and the respiratory system</t>
  </si>
  <si>
    <t>topical agents primarily affecting skin and mucous membrane and by ophthalmological, otorhinorlaryngological and dental drugs</t>
  </si>
  <si>
    <t>diuretics and other and unspecified drugs, medicaments and biological substances</t>
  </si>
  <si>
    <t>T36</t>
  </si>
  <si>
    <t>T37</t>
  </si>
  <si>
    <t>T38</t>
  </si>
  <si>
    <t>T39</t>
  </si>
  <si>
    <t>T40</t>
  </si>
  <si>
    <t>T41</t>
  </si>
  <si>
    <t>T42</t>
  </si>
  <si>
    <t>T43</t>
  </si>
  <si>
    <t>T44</t>
  </si>
  <si>
    <t>T45</t>
  </si>
  <si>
    <t>T46</t>
  </si>
  <si>
    <t>T47</t>
  </si>
  <si>
    <t>T48</t>
  </si>
  <si>
    <t>T49</t>
  </si>
  <si>
    <t>T50</t>
  </si>
  <si>
    <t>T38 hormones...</t>
  </si>
  <si>
    <t>T39 nonopioid analgesics...</t>
  </si>
  <si>
    <t>T36 antibiotics…</t>
  </si>
  <si>
    <t>T37 ...anti-infectives and antiparasitics</t>
  </si>
  <si>
    <t>T40 narcotics and hallucinogens</t>
  </si>
  <si>
    <t>T41 anesthetics…</t>
  </si>
  <si>
    <t>T42 antiepileptic...</t>
  </si>
  <si>
    <t>T43 psychotropics, NEC</t>
  </si>
  <si>
    <t>T44 autonomic nervous system</t>
  </si>
  <si>
    <t>T45 Systemic/hematological, NEC</t>
  </si>
  <si>
    <t>T46 cardiovascular</t>
  </si>
  <si>
    <t>T47 gastrointestinal</t>
  </si>
  <si>
    <t>T48 muscles/respiratory</t>
  </si>
  <si>
    <t>T49 topical agents</t>
  </si>
  <si>
    <t>T50 diuretics and OU</t>
  </si>
  <si>
    <t>Table 4: Presence of other external cause codes</t>
  </si>
  <si>
    <t>Chapter</t>
  </si>
  <si>
    <t>total</t>
  </si>
  <si>
    <t>2-5</t>
  </si>
  <si>
    <t>6-10</t>
  </si>
  <si>
    <t>11-15</t>
  </si>
  <si>
    <t>16-30</t>
  </si>
  <si>
    <t>Table 7: For Records with Any Mention, Chapter of Principal/first listed Diagnosis</t>
  </si>
  <si>
    <t>Mental disorders due to known physiological conditions</t>
  </si>
  <si>
    <t>Mental and behavioral disorders due to psychoactive substance use</t>
  </si>
  <si>
    <t>Schizophrenia, schizotypal, delusional, and other non-mood psychotic disorders</t>
  </si>
  <si>
    <t>Mood [affective] disorders</t>
  </si>
  <si>
    <t>Anxiety, dissociative, stress-related, somatoform and other nonpsychotic mental disorders</t>
  </si>
  <si>
    <t>Behavioral syndromes associated with physiological disturbances and physical factors</t>
  </si>
  <si>
    <t>Disorders of adult personality and behavior</t>
  </si>
  <si>
    <t>Behavioral and emotional disorders with onset usually occurring in childhood and adolescence</t>
  </si>
  <si>
    <t>Percent of cases (any mention) with principal in chapter</t>
  </si>
  <si>
    <t>Percent of cases (with F as principal and T as secondary) in each mental health category</t>
  </si>
  <si>
    <t>Table 9a: Frequency of type of encounter, Any Mention of Drugs</t>
  </si>
  <si>
    <t>Table 9b: Frequency of intent, Any Mention of Drugs</t>
  </si>
  <si>
    <t>11 a and b (look at any mention too)</t>
  </si>
  <si>
    <t>4 add state in table 0</t>
  </si>
  <si>
    <t>5 add state in table 0</t>
  </si>
  <si>
    <t>6 add state in table 0</t>
  </si>
  <si>
    <t>7 add state in table 0</t>
  </si>
  <si>
    <t>8 add state in table 0</t>
  </si>
  <si>
    <t>9 add state in table 0</t>
  </si>
  <si>
    <t>10 add state in table 0</t>
  </si>
  <si>
    <t>11 add state in table 0</t>
  </si>
  <si>
    <t>12 add state in table 0</t>
  </si>
  <si>
    <t>**** Look at secondary tooo (4a and 4b)</t>
  </si>
  <si>
    <t/>
  </si>
  <si>
    <t>Discharge Quarter</t>
  </si>
  <si>
    <t>2016-1</t>
  </si>
  <si>
    <t>2016-2</t>
  </si>
  <si>
    <t>2016-3</t>
  </si>
  <si>
    <t>2016-4</t>
  </si>
  <si>
    <t>Indicator 2.3.1 Opioids - Case Definition Drug Overdose</t>
  </si>
  <si>
    <t>Indicator 2.3.1a Opioids - Case Definition Drug Overdose, Adverse Effect</t>
  </si>
  <si>
    <t>Indicator 2.3.1b Opioids - Case Definition  Adverse Effect, Behavioral Health (Addiction
disorders)</t>
  </si>
  <si>
    <t>Indicators 2.3.1X Non-Heroin Opioids Alone - Case Definition Overdose</t>
  </si>
  <si>
    <t>Indicators 2.3.1X Non-Heroin Opioids Alone - Case Definition Overdose, Adverse Effect</t>
  </si>
  <si>
    <t>Indicators 2.3.1X Non-Heroin Opioids &amp; Heroin - Case Definition Overdose</t>
  </si>
  <si>
    <t>Indicators 2.3.1X Non-Heroin Opioids &amp; Heroin - Case Definition Overdose, Adverse Effect</t>
  </si>
  <si>
    <t>Indicators 2.3.1X Heroin Alone - Case Definition Overdose</t>
  </si>
  <si>
    <t>Indicators 2.3.1X Heroin Alone - Case Definition Overdose, Adverse Effect</t>
  </si>
  <si>
    <t>Indicator 2.3.2 Cannabis - Case Definition Drug Overdose</t>
  </si>
  <si>
    <t>Indicator 2.3.2a Cannabis - Case Definition Drug Overdose, Adverse Effect</t>
  </si>
  <si>
    <t>Indicator 2.3.2b Cannabis - Case Definition, Adverse Effect, Behavioral Health</t>
  </si>
  <si>
    <t>Indicator 2.3.3 Ampthetamines - Case Definition Drug Overdose</t>
  </si>
  <si>
    <t>Indicator 2.3.3a Ampthetamines - Case Definition Drug Overdose, Adverse Effect</t>
  </si>
  <si>
    <t>Indicator 2.3.3a Ampthetamines - Case Definition Drug Overdose, Behavioral Health</t>
  </si>
  <si>
    <t>Indicator 2.3.4 COCAINE - Case Definition Drug Overdose</t>
  </si>
  <si>
    <t>Indicator 2.3.4a COCAINE - Case Definition Drug Overdose, Adverse Effect</t>
  </si>
  <si>
    <t>Indicator 2.3.4b COCAINE - Case Definition, Adverse Effect, Behavioral Health</t>
  </si>
  <si>
    <t>Indicator 2.3.5 Benzodiazepines - Case Definition Drug Overdose</t>
  </si>
  <si>
    <t>Indicator 2.3.5a Benzodiazepines - Case Definition Drug Overdose, Adverse Effect</t>
  </si>
  <si>
    <t>DDPI / PFS Indicator 2.4.1. Non-Fatal Drug Overdose Hospitalizations</t>
  </si>
  <si>
    <t>DDPI / PFS Indicator 2.4.2. Hospitalizations involving non-fatal opioid overdose excluding
heroin</t>
  </si>
  <si>
    <t>DDPI / PFS Indicator 2.4.3. Hospitalizations involving non-fatal heroin overdose</t>
  </si>
  <si>
    <t>DDPI / PFS Indicator 2.4.4. Hospitalizations involving heroin alone</t>
  </si>
  <si>
    <t>DDPI / PFS Indicator 2.4.5. Hospitalizations involving heroin and other opiods</t>
  </si>
  <si>
    <t>DDPI / PFS Indicator 2.4.6. Hospitalizations involving other opioids alone</t>
  </si>
  <si>
    <t>DDPI / PFS Indicator 2.4.2. Hospitalizations involving non-fatal opioid overdose excluding heroin</t>
  </si>
  <si>
    <t>Primary Dx of Drug Poisoing</t>
  </si>
  <si>
    <t>Secondary Dx of Drug Poisoing</t>
  </si>
  <si>
    <t>Cases Secondary Dx Drug Poisoning with  Dx Code Before Mechanism / Manner Code (Prin Dx,
External Cause Fields, Secondary Dx)</t>
  </si>
  <si>
    <t>Cases Secondary Dx Drug Poisoning with Dx Code Before Mechanism / Manner Code (Prin Dx,
Secondary Dx, External Cause)</t>
  </si>
  <si>
    <t>Row Substance</t>
  </si>
  <si>
    <t>Cannabis</t>
  </si>
  <si>
    <t>Opioids</t>
  </si>
  <si>
    <t>_____Non-heroin
opioids (Alone
or in
combination)</t>
  </si>
  <si>
    <t>_____Heroin
(Alone or in
combination)</t>
  </si>
  <si>
    <t>Psychostimulants</t>
  </si>
  <si>
    <t>_____Ampthetamines</t>
  </si>
  <si>
    <t>_____Non-Ampthetamines</t>
  </si>
  <si>
    <t>Cocaine</t>
  </si>
  <si>
    <t>Benzodiazepines</t>
  </si>
  <si>
    <t>Alcohol
Toxicity</t>
  </si>
  <si>
    <t>Unspecified
Psychodysleptics</t>
  </si>
  <si>
    <t>Unspecified/Other
Psychotropics</t>
  </si>
  <si>
    <t>_____Non-heroin opioids (Alone or in
combination)</t>
  </si>
  <si>
    <t>_____Heroin (Alone or in combination)</t>
  </si>
  <si>
    <t>Alcohol Toxicity</t>
  </si>
  <si>
    <t>Unspecified Psychodysleptics</t>
  </si>
  <si>
    <t>Unspecified/Other Psychotropics</t>
  </si>
  <si>
    <t>Indicator 2.3.1 - Opioids, By Quarter</t>
  </si>
  <si>
    <t>Indicator 2.3.2 - Cannabis, By Quarter</t>
  </si>
  <si>
    <t>Indicator 2.3.3 - Ampthetamines, By Quarter</t>
  </si>
  <si>
    <t>Indicator 2.3.5- BENZODIAZEPINE, By Quarter</t>
  </si>
  <si>
    <t>Indicator 2.3.4 - Cocaine, By Quarter</t>
  </si>
  <si>
    <t>Table 2.4a: DDPI / PfS Case Definitions (Initial Encounter and Missing Only), By Quarter</t>
  </si>
  <si>
    <t>Table 2.4b: DDPI / PfS Case Definitions (Alternative Heroin and Other Opioids), By Quarter</t>
  </si>
  <si>
    <t>Table 2.4c: All Diagnosis Codes DDPI / PfS Case Definitions by manner type, By Quarter</t>
  </si>
  <si>
    <t>Table 2.5: , By Quarter</t>
  </si>
  <si>
    <t>Table 3.2: Polydrug Overdose - Non-Fatal</t>
  </si>
  <si>
    <t>Manner Type</t>
  </si>
  <si>
    <t>275</t>
  </si>
  <si>
    <t>7</t>
  </si>
  <si>
    <t>5</t>
  </si>
  <si>
    <t>2</t>
  </si>
  <si>
    <t>4</t>
  </si>
  <si>
    <t>6</t>
  </si>
  <si>
    <t>1</t>
  </si>
  <si>
    <t>1768</t>
  </si>
  <si>
    <t>1016</t>
  </si>
  <si>
    <t>756</t>
  </si>
  <si>
    <t>25</t>
  </si>
  <si>
    <t>24</t>
  </si>
  <si>
    <t>105</t>
  </si>
  <si>
    <t>10</t>
  </si>
  <si>
    <t>9</t>
  </si>
  <si>
    <t>8</t>
  </si>
  <si>
    <t>100</t>
  </si>
  <si>
    <t>16</t>
  </si>
  <si>
    <t>306</t>
  </si>
  <si>
    <t>218</t>
  </si>
  <si>
    <t>90</t>
  </si>
  <si>
    <t>3</t>
  </si>
  <si>
    <t>75</t>
  </si>
  <si>
    <t>889</t>
  </si>
  <si>
    <t>20</t>
  </si>
  <si>
    <t>319</t>
  </si>
  <si>
    <t>15</t>
  </si>
  <si>
    <t>**</t>
  </si>
  <si>
    <t>637</t>
  </si>
  <si>
    <t>34</t>
  </si>
  <si>
    <t>14</t>
  </si>
  <si>
    <t>37</t>
  </si>
  <si>
    <t>36</t>
  </si>
  <si>
    <t>28</t>
  </si>
  <si>
    <t>16804</t>
  </si>
  <si>
    <t>4341</t>
  </si>
  <si>
    <t>12535</t>
  </si>
  <si>
    <t>247</t>
  </si>
  <si>
    <t>58</t>
  </si>
  <si>
    <t>441</t>
  </si>
  <si>
    <t>72</t>
  </si>
  <si>
    <t>84</t>
  </si>
  <si>
    <t>340</t>
  </si>
  <si>
    <t>163</t>
  </si>
  <si>
    <t>42</t>
  </si>
  <si>
    <t>101</t>
  </si>
  <si>
    <t>1659</t>
  </si>
  <si>
    <t>1437</t>
  </si>
  <si>
    <t>226</t>
  </si>
  <si>
    <t>60</t>
  </si>
  <si>
    <t>248</t>
  </si>
  <si>
    <t>2259</t>
  </si>
  <si>
    <t>30</t>
  </si>
  <si>
    <t>552</t>
  </si>
  <si>
    <t>46</t>
  </si>
  <si>
    <t>59</t>
  </si>
  <si>
    <t>1423</t>
  </si>
  <si>
    <t>777</t>
  </si>
  <si>
    <t>657</t>
  </si>
  <si>
    <t>27</t>
  </si>
  <si>
    <t>80</t>
  </si>
  <si>
    <t>17</t>
  </si>
  <si>
    <t>11</t>
  </si>
  <si>
    <t>74</t>
  </si>
  <si>
    <t>240</t>
  </si>
  <si>
    <t>208</t>
  </si>
  <si>
    <t>33</t>
  </si>
  <si>
    <t>48</t>
  </si>
  <si>
    <t>505</t>
  </si>
  <si>
    <t>204</t>
  </si>
  <si>
    <t>_____Non-heroin</t>
  </si>
  <si>
    <t>_____Heroin</t>
  </si>
  <si>
    <t>Alcohol</t>
  </si>
  <si>
    <t>Unspecified</t>
  </si>
  <si>
    <t>Unspecified/Other</t>
  </si>
  <si>
    <t>Total (count)</t>
  </si>
  <si>
    <t>Non-heroin opioids (Alone or in
combination)</t>
  </si>
  <si>
    <t>Heroin (Alone or in combination)</t>
  </si>
  <si>
    <t>Ampthetamines</t>
  </si>
  <si>
    <t>Non-Ampthetamines</t>
  </si>
  <si>
    <t>Unspecified/
Other Psychotropics</t>
  </si>
  <si>
    <t>Table 3.2: Polydrug Overdose - Non-Fatal (Visualizations)</t>
  </si>
  <si>
    <t>T14-T14</t>
  </si>
  <si>
    <t>T15-T19</t>
  </si>
  <si>
    <t>T51-T65</t>
  </si>
  <si>
    <t>T66-T78</t>
  </si>
  <si>
    <t>V00-V09</t>
  </si>
  <si>
    <t>V10-V19</t>
  </si>
  <si>
    <t>V20-V29</t>
  </si>
  <si>
    <t>V40-V49</t>
  </si>
  <si>
    <t>V80-V89</t>
  </si>
  <si>
    <t>W00-W19</t>
  </si>
  <si>
    <t>W20-W49</t>
  </si>
  <si>
    <t>W50-W64</t>
  </si>
  <si>
    <t>W85-W99</t>
  </si>
  <si>
    <t>X00-X08</t>
  </si>
  <si>
    <t>X10-X19</t>
  </si>
  <si>
    <t>X30-X39</t>
  </si>
  <si>
    <t>X52-X58</t>
  </si>
  <si>
    <t>X71-X83</t>
  </si>
  <si>
    <t>X92-Y09</t>
  </si>
  <si>
    <t>Y21-Y33</t>
  </si>
  <si>
    <t>Y35-Y38</t>
  </si>
  <si>
    <t>No Adverse Effects</t>
  </si>
  <si>
    <t>Adverse Effects</t>
  </si>
  <si>
    <t>Behavioral Health</t>
  </si>
  <si>
    <t>Non-Heroin Opioids Alone</t>
  </si>
  <si>
    <t>Non-Heroin Opioids &amp; Heroin</t>
  </si>
  <si>
    <t>Heroin Alone</t>
  </si>
  <si>
    <t>Louisiana</t>
  </si>
  <si>
    <t>Tennessee</t>
  </si>
  <si>
    <t>Table 2.3.  Comparing Poisoning, Adverse Effects, and Behavioral Health Codes for Specific Drugs.</t>
  </si>
  <si>
    <t>Number of Cases</t>
  </si>
  <si>
    <t xml:space="preserve">Proportionate Increase Over Case Definition </t>
  </si>
  <si>
    <t>CO</t>
  </si>
  <si>
    <t>LA</t>
  </si>
  <si>
    <t>NM</t>
  </si>
  <si>
    <t>NY</t>
  </si>
  <si>
    <t>NC</t>
  </si>
  <si>
    <t>MT</t>
  </si>
  <si>
    <t>Case Definition Drug Overdose</t>
  </si>
  <si>
    <t>Indicator 2.3.1X - Opioid Combinations</t>
  </si>
  <si>
    <t>w  Adverse Effect &amp; Addiction disorder</t>
  </si>
  <si>
    <t>Table 2.3.1X. The impact of including Adverse Effects in various opioid definitions</t>
  </si>
  <si>
    <t>Non-heroin opioids alone</t>
  </si>
  <si>
    <t>Case Definition Overdose</t>
  </si>
  <si>
    <t>Case Definition Overdose plus Adverse Effect</t>
  </si>
  <si>
    <t>Non-heroin opioids and heroin</t>
  </si>
  <si>
    <t>Heroin alone</t>
  </si>
  <si>
    <t xml:space="preserve">     Non-Heroin Opioids Alone</t>
  </si>
  <si>
    <t xml:space="preserve">     Non-Heroin Opioids &amp; Heroin</t>
  </si>
  <si>
    <t xml:space="preserve">     Heroin Alone</t>
  </si>
  <si>
    <t>Case Definition Drug Overdose, Adverse Effect</t>
  </si>
  <si>
    <t>Case Definition Drug Overdose = 1</t>
  </si>
  <si>
    <t>Ratio w Adverse Effect</t>
  </si>
  <si>
    <t>Ratio w  Adverse Effect &amp; Addiction disorder</t>
  </si>
  <si>
    <t>Amphetamines</t>
  </si>
  <si>
    <t>KY</t>
  </si>
  <si>
    <t>TN</t>
  </si>
  <si>
    <t>Figure 2.4. Percent of all cases identified by number of diagnosis codes examined</t>
  </si>
  <si>
    <t>DDPI/PFS Indicator 2.4.1. Non-fatal drug overdose hospitalizations</t>
  </si>
  <si>
    <t>First diagnosis code</t>
  </si>
  <si>
    <t>All drug overdoses</t>
  </si>
  <si>
    <t>First 5 diagnosis codes</t>
  </si>
  <si>
    <t>First 10 diagnosis codes</t>
  </si>
  <si>
    <t>All available diagnosis codes</t>
  </si>
  <si>
    <t>Non-heroin opioid overdoses</t>
  </si>
  <si>
    <t>Heroin overdoses</t>
  </si>
  <si>
    <t>Table 2.4. Number of cases identified by number of diagnosis codes examined</t>
  </si>
  <si>
    <t>Table 2.4. Percent of all cases identified by number of diagnosis codes examined</t>
  </si>
  <si>
    <t>DDPI / PFS Indicator 2.4.1 (First Five). Non-Fatal Drug Overdose Hospitalizations</t>
  </si>
  <si>
    <t>DDPI / PFS Indicator 2.4.2 (First Five). Hospitalizations involving non-fatal opioid overdose
excluding heroin</t>
  </si>
  <si>
    <t>DDPI / PFS Indicator 2.4.3 (First Five). Hospitalizations involving non-fatal heroin overdose</t>
  </si>
  <si>
    <t>DDPI / PFS Indicator 2.4.1 (First Ten). Non-Fatal Drug Overdose Hospitalizations</t>
  </si>
  <si>
    <t>DDPI / PFS Indicator 2.4.2 (First Ten). Hospitalizations involving non-fatal opioid overdose
excluding heroin</t>
  </si>
  <si>
    <t>DDPI / PFS Indicator 2.4.3 (First Ten). Hospitalizations involving non-fatal heroin overdose</t>
  </si>
  <si>
    <t>DDPI / PFS Indicator 2.4.1 (First Only). Non-Fatal Drug Overdose Hospitalizations</t>
  </si>
  <si>
    <t>DDPI / PFS Indicator 2.4.2 (First Only). Hospitalizations involving non-fatal opioid overdose
excluding heroin</t>
  </si>
  <si>
    <t>DDPI / PFS Indicator 2.4.3 (First Only). Hospitalizations involving non-fatal heroin overdose</t>
  </si>
  <si>
    <t>All Diagnosis Codes DDPI / PfS Drug Poisoning Indicator Case Definitions, By Quarter</t>
  </si>
  <si>
    <t>First 5 Diagnosis Codes DDPI / PfS Drug Poisoning Indicator Case Definitions</t>
  </si>
  <si>
    <t>All Diagnosis Codes DDPI / PfS Drug Poisoning Indicator Case Definitions</t>
  </si>
  <si>
    <t>First 10 Diagnosis Codes DDPI / PfS Drug Poisoning Indicator Case Definitions</t>
  </si>
  <si>
    <t>First One Diagnosis Code DDPI / PfS Drug Poisoning Indicator Case Definitions</t>
  </si>
  <si>
    <t>Table 2.4a: DDPI / PfS Case Definitions (Initial Encounter and Missing Only)</t>
  </si>
  <si>
    <t>Table 2.4b: DDPI / PfS Case Definitions (Alternative Heroin and Other Opioids)</t>
  </si>
  <si>
    <t>Table 2.4c: All Diagnosis Codes DDPI / PfS Case Definitions by manner type</t>
  </si>
  <si>
    <t xml:space="preserve">Table 2.5: </t>
  </si>
  <si>
    <t>First Diagnosis Code DDPI / PfS Drug Poisoning Indicator Case Definitions</t>
  </si>
  <si>
    <t>DDPI / PFS Indicator 2.4.2 (First Five). Hospitalizations involving non-fatal opioid overdose excluding heroin</t>
  </si>
  <si>
    <t xml:space="preserve">DDPI / PFS Indicator 2.4.2 (First Ten). Hospitalizations involving non-fatal opioid overdose excluding heroin
</t>
  </si>
  <si>
    <t xml:space="preserve">DDPI / PFS Indicator 2.4.3 (First Ten). Hospitalizations involving non-fatal heroin overdose
</t>
  </si>
  <si>
    <t xml:space="preserve">DDPI / PFS Indicator 2.4.2. Hospitalizations involving non-fatal opioid overdose excluding heroin
</t>
  </si>
  <si>
    <t xml:space="preserve">All drug overdoses - initial/subsequent/missing </t>
  </si>
  <si>
    <t>Non-heroin opioid overdoses - initial/subsequent/missing</t>
  </si>
  <si>
    <t xml:space="preserve">Heroin overdoses - initial/subsequent/missing </t>
  </si>
  <si>
    <t xml:space="preserve">All drug overdoses - initial/missing only </t>
  </si>
  <si>
    <t xml:space="preserve">Non-heroin opioid overdoses - initial/missing only </t>
  </si>
  <si>
    <t xml:space="preserve">Heroin overdoses - initial/missing only </t>
  </si>
  <si>
    <t>Percent of cases with a subsequent encounter</t>
  </si>
  <si>
    <t>Table 2.4a. Number of overdose hospitalizations identified by encounter type</t>
  </si>
  <si>
    <t>Non-heroin opioids - initial/subsequent/missing</t>
  </si>
  <si>
    <t xml:space="preserve">Non-heroin opioids - initial/missing only </t>
  </si>
  <si>
    <t>Percent of overdose hospitalizations with a subsequent encounter code</t>
  </si>
  <si>
    <t xml:space="preserve">All drugs </t>
  </si>
  <si>
    <t xml:space="preserve">Non-heroin opioids </t>
  </si>
  <si>
    <t xml:space="preserve">Heroin </t>
  </si>
  <si>
    <t xml:space="preserve">Table 2.4b: DDPI / PfS Opioid Case Definition Alternatives </t>
  </si>
  <si>
    <t>Hospitalizations involving heroin alone</t>
  </si>
  <si>
    <t>Hospitalizations involving heroin and other opiods</t>
  </si>
  <si>
    <t>Hospitalizations involving other opioids alone</t>
  </si>
  <si>
    <t>Percent of cases by alternative opioid definition</t>
  </si>
  <si>
    <t>Heroin and other opiods</t>
  </si>
  <si>
    <t>All Drugs</t>
  </si>
  <si>
    <t>Unintentional</t>
  </si>
  <si>
    <t>Self-Harm</t>
  </si>
  <si>
    <t>Assault</t>
  </si>
  <si>
    <t>Undetermined</t>
  </si>
  <si>
    <t>All drugs</t>
  </si>
  <si>
    <t>Non-heroin Opioids</t>
  </si>
  <si>
    <t>Heroin</t>
  </si>
  <si>
    <t xml:space="preserve">Table 2.4c. Number of overdose hospitalizations by manner/intent type </t>
  </si>
  <si>
    <t>Uninten- tional</t>
  </si>
  <si>
    <t>Undeter-mined</t>
  </si>
  <si>
    <t>Table 2.5: Search Order</t>
  </si>
  <si>
    <t>Secondary Dx Drug Poisoning with Dx Code Before Mechanism / Manner Code (Prin Dx,
Secondary Dx, External Cause)</t>
  </si>
  <si>
    <t>Table 2.5a. Number of poisoning hospitalizations with primary diagnosis vs. secondary diagnosis only</t>
  </si>
  <si>
    <t>Primary Dx of Drug Poisoning</t>
  </si>
  <si>
    <t>Secondary Dx of Drug Poisoning (NOT primary)</t>
  </si>
  <si>
    <t>Table 2.5b. Number of cases with a secondary dx code before mechanism/manner code, by search order</t>
  </si>
  <si>
    <t>Search Order</t>
  </si>
  <si>
    <t>Prin Dx, External Cause, Secondary Dx</t>
  </si>
  <si>
    <t>Prin Dx, Secondary Dx, External Cause</t>
  </si>
  <si>
    <t>Figure 2.4c. Proportion of overdose emergency department visits by manner/intent type</t>
  </si>
  <si>
    <t>Louisana</t>
  </si>
  <si>
    <t>Tenneesee</t>
  </si>
  <si>
    <t>Tennnessee</t>
  </si>
  <si>
    <t>Tennesee</t>
  </si>
  <si>
    <t>Table 3.1: Number of Classes of Drug Poisoningl, COLORADO</t>
  </si>
  <si>
    <t>Number of Selected Drug Classes</t>
  </si>
  <si>
    <t>NUMDRUGS</t>
  </si>
  <si>
    <t>Cumulative
Frequency</t>
  </si>
  <si>
    <t>Cumulative
Percent</t>
  </si>
  <si>
    <t>COLORADO Hospital Discharge Data System; '01Jan2016'd-'31Dec2016'd</t>
  </si>
  <si>
    <t>Number &gt;1 drug class</t>
  </si>
  <si>
    <t xml:space="preserve"> Number of Selected Drug Classes</t>
  </si>
  <si>
    <t>1 Class</t>
  </si>
  <si>
    <t>2 Classes</t>
  </si>
  <si>
    <t>3 Classes</t>
  </si>
  <si>
    <t>4 Classes</t>
  </si>
  <si>
    <t>5 Classes</t>
  </si>
  <si>
    <t>Overall % &gt; 1 drug class</t>
  </si>
  <si>
    <t>Total (sum of percents)</t>
  </si>
  <si>
    <t>3.3 Cannabis involvement in opioid poisoning VS. opioid involvement in cannabis poisoning</t>
  </si>
  <si>
    <t xml:space="preserve">Percent marijuana involvement out of all opioid overdose </t>
  </si>
  <si>
    <t xml:space="preserve">Percent opioid involvement out of all marijuana overdose </t>
  </si>
  <si>
    <t>3.4 Comparing polydrug combinations for pills versus street drugs</t>
  </si>
  <si>
    <t>3.4a Percent of overdose cases that also involve amphetamines</t>
  </si>
  <si>
    <t>out of all heroin overdoses</t>
  </si>
  <si>
    <t>out of all NH opioid overdoses</t>
  </si>
  <si>
    <t>3.4b Percent of overdose cases that also involve cocaine</t>
  </si>
  <si>
    <t>3.4c Percent of overdose cases that also involve benzodiazepines</t>
  </si>
  <si>
    <t>3.5 Cocaine involvement in opioid poisoning VS. opioid involvement in cocaine poisoning</t>
  </si>
  <si>
    <t xml:space="preserve">Percent cocaine involvement out of all opioid overdose </t>
  </si>
  <si>
    <t xml:space="preserve">Percent opioid involvement out of all cocaine overdose </t>
  </si>
  <si>
    <t>3.6  Benzodiazapine involvement in NHopioid poisoning VS. NHopioid involvement in benzodiazepine poisoning</t>
  </si>
  <si>
    <t xml:space="preserve">Percent benzodiazepine involvement out of all non-heroin opioid overdose </t>
  </si>
  <si>
    <t xml:space="preserve">Percent non-heroin opioid involvement out of all benzodiazepine overdose </t>
  </si>
  <si>
    <t>3.7 Benzodiazapine involvement in amphetamine poisoning VS. amphetamine involvement in benzodiazepine poisoning</t>
  </si>
  <si>
    <t xml:space="preserve">Percent benzodiazepine involvement out of all amphetamine overdose </t>
  </si>
  <si>
    <t xml:space="preserve">Percent amphetamine involvement out of all benzodiazepine overdose </t>
  </si>
  <si>
    <t>3.8 Benzodiazapine involvement in alcohol poisoning VS. alcohol involvement in benzodiazepine poisoning</t>
  </si>
  <si>
    <t xml:space="preserve">Percent benzodiazepine involvement out of all alcohol overdose </t>
  </si>
  <si>
    <t xml:space="preserve">Percent alcohol involvement out of all benzodiazepine overdose </t>
  </si>
  <si>
    <t>Table 1a. Number of drug T-codes per record, CSTE Proposed Case Definition 1.</t>
  </si>
  <si>
    <t>Frequency Distribution of Number of Drug Poisoning Codes Per Record, CSTE Working Case Definition of Drug Poisoning</t>
  </si>
  <si>
    <t>NDRUGS</t>
  </si>
  <si>
    <t xml:space="preserve">State </t>
  </si>
  <si>
    <t>8+</t>
  </si>
  <si>
    <t>1 code</t>
  </si>
  <si>
    <t>2 codes</t>
  </si>
  <si>
    <t>3 codes</t>
  </si>
  <si>
    <t>4 codes</t>
  </si>
  <si>
    <t>5 codes</t>
  </si>
  <si>
    <t>6 codes</t>
  </si>
  <si>
    <t>7 codes</t>
  </si>
  <si>
    <t>8+ codes</t>
  </si>
  <si>
    <t>Overall % &gt;1 drug code</t>
  </si>
  <si>
    <t>Percent Expired</t>
  </si>
  <si>
    <t>6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</si>
</sst>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09]mmmm\ d\,\ yyyy;@"/>
    <numFmt numFmtId="165" formatCode="#####0"/>
    <numFmt numFmtId="166" formatCode="###,###,##0"/>
    <numFmt numFmtId="167" formatCode="################################################0"/>
    <numFmt numFmtId="168" formatCode="###########0"/>
    <numFmt numFmtId="169" formatCode="##0.00"/>
    <numFmt numFmtId="170" formatCode="#######0"/>
    <numFmt numFmtId="171" formatCode="0.0%"/>
    <numFmt numFmtId="172" formatCode="0.0"/>
  </numFmts>
  <fonts count="32">
    <font>
      <sz val="11"/>
      <color theme="1"/>
      <name val="Calibri"/>
      <family val="2"/>
      <scheme val="minor"/>
    </font>
    <font>
      <sz val="10"/>
      <color rgb="FF000000"/>
      <name val="Arial"/>
      <family val="2"/>
    </font>
    <font>
      <b/>
      <sz val="11"/>
      <color rgb="FF000000"/>
      <name val="Arial"/>
      <family val="2"/>
    </font>
    <font>
      <sz val="11"/>
      <color rgb="FF000000"/>
      <name val="Arial"/>
      <family val="2"/>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b/>
      <sz val="12"/>
      <color theme="1"/>
      <name val="Times New Roman"/>
      <family val="1"/>
    </font>
    <font>
      <b/>
      <sz val="11"/>
      <color rgb="FF3F3F76"/>
      <name val="Calibri"/>
      <family val="2"/>
      <scheme val="minor"/>
    </font>
    <font>
      <sz val="11"/>
      <color rgb="FF006100"/>
      <name val="Calibri"/>
      <family val="2"/>
      <scheme val="minor"/>
    </font>
    <font>
      <sz val="11"/>
      <color rgb="FF9C6500"/>
      <name val="Calibri"/>
      <family val="2"/>
      <scheme val="minor"/>
    </font>
    <font>
      <sz val="11"/>
      <color rgb="FFFF0000"/>
      <name val="Calibri"/>
      <family val="2"/>
      <scheme val="minor"/>
    </font>
    <font>
      <sz val="9.5"/>
      <color rgb="FF000000"/>
      <name val="Arial"/>
      <family val="2"/>
    </font>
    <font>
      <b/>
      <sz val="11"/>
      <color rgb="FF000000"/>
      <name val="Arial"/>
      <family val="2"/>
    </font>
    <font>
      <b/>
      <sz val="9.5"/>
      <color rgb="FF000000"/>
      <name val="Arial"/>
      <family val="2"/>
    </font>
    <font>
      <u/>
      <sz val="11"/>
      <color theme="10"/>
      <name val="Calibri"/>
      <family val="2"/>
    </font>
    <font>
      <sz val="10"/>
      <color rgb="FF000000"/>
      <name val="Tahoma"/>
      <family val="2"/>
    </font>
    <font>
      <b/>
      <sz val="10"/>
      <color rgb="FF000000"/>
      <name val="Tahoma"/>
      <family val="2"/>
    </font>
    <font>
      <sz val="11"/>
      <color theme="1"/>
      <name val="Calibri"/>
      <family val="2"/>
      <scheme val="minor"/>
    </font>
    <font>
      <b/>
      <sz val="20"/>
      <color theme="1"/>
      <name val="Calibri"/>
      <family val="2"/>
      <scheme val="minor"/>
    </font>
    <font>
      <b/>
      <sz val="18"/>
      <color rgb="FF000000"/>
      <name val="Arial"/>
      <family val="2"/>
    </font>
    <font>
      <b/>
      <sz val="9.5"/>
      <color theme="1"/>
      <name val="Arial"/>
      <family val="2"/>
    </font>
    <font>
      <b/>
      <sz val="9.5"/>
      <name val="Arial"/>
      <family val="2"/>
    </font>
    <font>
      <sz val="9.5"/>
      <name val="Arial"/>
      <family val="2"/>
    </font>
    <font>
      <sz val="9.5"/>
      <color rgb="FF3F3F76"/>
      <name val="Arial"/>
      <family val="2"/>
    </font>
    <font>
      <b/>
      <sz val="10"/>
      <color rgb="FF000000"/>
      <name val="Arial"/>
      <family val="2"/>
    </font>
    <font>
      <b/>
      <sz val="9.5"/>
      <color rgb="FF000000"/>
      <name val="Arial"/>
    </font>
    <font>
      <b/>
      <sz val="10"/>
      <color rgb="FF112277"/>
      <name val="Arial"/>
      <family val="2"/>
    </font>
    <font>
      <sz val="11"/>
      <name val="Calibri"/>
      <family val="2"/>
      <scheme val="minor"/>
    </font>
    <font>
      <b/>
      <sz val="11"/>
      <color theme="1"/>
      <name val="Calibri"/>
      <family val="2"/>
    </font>
  </fonts>
  <fills count="17">
    <fill>
      <patternFill patternType="none"/>
    </fill>
    <fill>
      <patternFill patternType="gray125"/>
    </fill>
    <fill>
      <patternFill patternType="solid">
        <fgColor rgb="FFFAFBFE"/>
        <bgColor indexed="64"/>
      </patternFill>
    </fill>
    <fill>
      <patternFill patternType="solid">
        <fgColor rgb="FFFFCC99"/>
      </patternFill>
    </fill>
    <fill>
      <patternFill patternType="solid">
        <fgColor rgb="FFF2F2F2"/>
      </patternFill>
    </fill>
    <fill>
      <patternFill patternType="solid">
        <fgColor rgb="FFC6EFCE"/>
      </patternFill>
    </fill>
    <fill>
      <patternFill patternType="solid">
        <fgColor rgb="FFFFEB9C"/>
      </patternFill>
    </fill>
    <fill>
      <patternFill patternType="solid">
        <fgColor rgb="FFD8DBD3"/>
        <bgColor indexed="64"/>
      </patternFill>
    </fill>
    <fill>
      <patternFill patternType="solid">
        <fgColor rgb="FFF5F7F1"/>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
      <patternFill patternType="solid">
        <fgColor rgb="FFC00000"/>
        <bgColor indexed="64"/>
      </patternFill>
    </fill>
    <fill>
      <patternFill patternType="solid">
        <fgColor theme="0" tint="-0.14999847407452621"/>
        <bgColor indexed="64"/>
      </patternFill>
    </fill>
    <fill>
      <patternFill patternType="solid">
        <fgColor rgb="FFF5F7F1"/>
        <bgColor rgb="FF000000"/>
      </patternFill>
    </fill>
    <fill>
      <patternFill patternType="solid">
        <fgColor rgb="FFEDF2F9"/>
        <bgColor indexed="64"/>
      </patternFill>
    </fill>
  </fills>
  <borders count="40">
    <border>
      <left/>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7F7F7F"/>
      </left>
      <right style="thin">
        <color rgb="FF7F7F7F"/>
      </right>
      <top style="thin">
        <color rgb="FF7F7F7F"/>
      </top>
      <bottom/>
      <diagonal/>
    </border>
    <border>
      <left/>
      <right/>
      <top style="thin">
        <color theme="4"/>
      </top>
      <bottom style="double">
        <color theme="4"/>
      </bottom>
      <diagonal/>
    </border>
    <border>
      <left style="thin">
        <color rgb="FF7F7F7F"/>
      </left>
      <right style="thin">
        <color rgb="FF7F7F7F"/>
      </right>
      <top style="thin">
        <color indexed="64"/>
      </top>
      <bottom style="thin">
        <color rgb="FF7F7F7F"/>
      </bottom>
      <diagonal/>
    </border>
    <border>
      <left style="thin">
        <color rgb="FF000000"/>
      </left>
      <right style="thin">
        <color rgb="FF000000"/>
      </right>
      <top/>
      <bottom/>
      <diagonal/>
    </border>
    <border>
      <left style="thin">
        <color rgb="FFC1C1C1"/>
      </left>
      <right style="thin">
        <color rgb="FFC1C1C1"/>
      </right>
      <top style="thin">
        <color rgb="FFC1C1C1"/>
      </top>
      <bottom style="thin">
        <color rgb="FFC1C1C1"/>
      </bottom>
      <diagonal/>
    </border>
    <border>
      <left/>
      <right/>
      <top/>
      <bottom style="thin">
        <color rgb="FFC1C1C1"/>
      </bottom>
      <diagonal/>
    </border>
    <border>
      <left style="thin">
        <color rgb="FFC1C1C1"/>
      </left>
      <right style="thin">
        <color rgb="FFC1C1C1"/>
      </right>
      <top style="thin">
        <color rgb="FFC1C1C1"/>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C1C1C1"/>
      </left>
      <right style="thin">
        <color rgb="FFC1C1C1"/>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rgb="FFC1C1C1"/>
      </left>
      <right/>
      <top style="thin">
        <color rgb="FFC1C1C1"/>
      </top>
      <bottom style="thin">
        <color rgb="FFC1C1C1"/>
      </bottom>
      <diagonal/>
    </border>
    <border>
      <left/>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style="thin">
        <color rgb="FFC1C1C1"/>
      </top>
      <bottom/>
      <diagonal/>
    </border>
    <border>
      <left style="thin">
        <color rgb="FFC1C1C1"/>
      </left>
      <right style="thin">
        <color rgb="FFC1C1C1"/>
      </right>
      <top/>
      <bottom style="thin">
        <color rgb="FFC1C1C1"/>
      </bottom>
      <diagonal/>
    </border>
    <border>
      <left/>
      <right style="thin">
        <color rgb="FFC1C1C1"/>
      </right>
      <top/>
      <bottom style="thin">
        <color rgb="FFC1C1C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rgb="FFC1C1C1"/>
      </right>
      <top/>
      <bottom style="medium">
        <color rgb="FFC1C1C1"/>
      </bottom>
      <diagonal/>
    </border>
    <border>
      <left/>
      <right style="medium">
        <color rgb="FFC1C1C1"/>
      </right>
      <top/>
      <bottom/>
      <diagonal/>
    </border>
    <border>
      <left/>
      <right/>
      <top/>
      <bottom style="medium">
        <color rgb="FFC1C1C1"/>
      </bottom>
      <diagonal/>
    </border>
    <border>
      <left/>
      <right style="medium">
        <color rgb="FFB0B7BB"/>
      </right>
      <top/>
      <bottom style="medium">
        <color rgb="FFB0B7BB"/>
      </bottom>
      <diagonal/>
    </border>
    <border>
      <left style="medium">
        <color indexed="64"/>
      </left>
      <right style="medium">
        <color indexed="64"/>
      </right>
      <top/>
      <bottom style="medium">
        <color indexed="64"/>
      </bottom>
      <diagonal/>
    </border>
  </borders>
  <cellStyleXfs count="10">
    <xf numFmtId="0" fontId="0" fillId="0" borderId="0"/>
    <xf numFmtId="0" fontId="4" fillId="0" borderId="4" applyNumberFormat="0" applyFill="0" applyAlignment="0" applyProtection="0"/>
    <xf numFmtId="0" fontId="5" fillId="3" borderId="5" applyNumberFormat="0" applyAlignment="0" applyProtection="0"/>
    <xf numFmtId="0" fontId="6" fillId="4" borderId="5" applyNumberFormat="0" applyAlignment="0" applyProtection="0"/>
    <xf numFmtId="0" fontId="7" fillId="0" borderId="9" applyNumberFormat="0" applyFill="0" applyAlignment="0" applyProtection="0"/>
    <xf numFmtId="0" fontId="11" fillId="5" borderId="0" applyNumberFormat="0" applyBorder="0" applyAlignment="0" applyProtection="0"/>
    <xf numFmtId="0" fontId="12" fillId="6" borderId="0" applyNumberFormat="0" applyBorder="0" applyAlignment="0" applyProtection="0"/>
    <xf numFmtId="0" fontId="14" fillId="0" borderId="0"/>
    <xf numFmtId="0" fontId="17" fillId="0" borderId="0" applyNumberFormat="0" applyFill="0" applyBorder="0" applyAlignment="0" applyProtection="0">
      <alignment vertical="top"/>
      <protection locked="0"/>
    </xf>
    <xf numFmtId="9" fontId="20" fillId="0" borderId="0" applyFont="0" applyFill="0" applyBorder="0" applyAlignment="0" applyProtection="0"/>
  </cellStyleXfs>
  <cellXfs count="298">
    <xf numFmtId="0" fontId="0" fillId="0" borderId="0" xfId="0"/>
    <xf numFmtId="0" fontId="2" fillId="0" borderId="0" xfId="0" applyFont="1" applyAlignment="1">
      <alignment horizontal="center" vertical="top" wrapText="1"/>
    </xf>
    <xf numFmtId="0" fontId="3"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xf numFmtId="0" fontId="2" fillId="0" borderId="2" xfId="0" applyFont="1" applyBorder="1" applyAlignment="1">
      <alignment vertical="top" wrapText="1"/>
    </xf>
    <xf numFmtId="0" fontId="2" fillId="0" borderId="0" xfId="0" applyFont="1" applyBorder="1" applyAlignment="1">
      <alignment vertical="top" wrapText="1"/>
    </xf>
    <xf numFmtId="0" fontId="1" fillId="2" borderId="0" xfId="0" applyFont="1" applyFill="1" applyAlignment="1">
      <alignment vertical="top"/>
    </xf>
    <xf numFmtId="0" fontId="3" fillId="0" borderId="0" xfId="0" applyFont="1" applyAlignment="1">
      <alignment vertical="top"/>
    </xf>
    <xf numFmtId="0" fontId="1" fillId="0" borderId="0" xfId="0" applyFont="1" applyAlignment="1">
      <alignment horizontal="center" vertical="center"/>
    </xf>
    <xf numFmtId="0" fontId="2" fillId="2" borderId="0" xfId="0" applyFont="1" applyFill="1" applyAlignment="1">
      <alignment horizontal="center" vertical="top"/>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0" fillId="0" borderId="0" xfId="0"/>
    <xf numFmtId="0" fontId="2" fillId="0" borderId="1"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0" fillId="0" borderId="0" xfId="0"/>
    <xf numFmtId="164" fontId="0" fillId="0" borderId="0" xfId="0" applyNumberFormat="1"/>
    <xf numFmtId="0" fontId="4" fillId="0" borderId="4" xfId="1" applyAlignment="1">
      <alignment vertical="top" wrapText="1"/>
    </xf>
    <xf numFmtId="0" fontId="7" fillId="0" borderId="6" xfId="0" applyFont="1" applyBorder="1" applyAlignment="1">
      <alignment horizontal="center" vertical="top" wrapText="1"/>
    </xf>
    <xf numFmtId="0" fontId="5" fillId="3" borderId="5" xfId="2" applyAlignment="1">
      <alignment vertical="top" wrapText="1"/>
    </xf>
    <xf numFmtId="0" fontId="5" fillId="3" borderId="5" xfId="2" applyAlignment="1">
      <alignment horizontal="right"/>
    </xf>
    <xf numFmtId="0" fontId="5" fillId="3" borderId="5" xfId="2"/>
    <xf numFmtId="164" fontId="8" fillId="0" borderId="4" xfId="1" applyNumberFormat="1" applyFont="1"/>
    <xf numFmtId="0" fontId="8" fillId="0" borderId="4" xfId="1" applyFont="1" applyAlignment="1">
      <alignment wrapText="1"/>
    </xf>
    <xf numFmtId="0" fontId="8" fillId="0" borderId="4" xfId="1" applyFont="1"/>
    <xf numFmtId="0" fontId="5" fillId="3" borderId="5" xfId="2" applyAlignment="1">
      <alignment horizontal="right" vertical="top" wrapText="1"/>
    </xf>
    <xf numFmtId="0" fontId="7" fillId="0" borderId="6" xfId="0" applyFont="1" applyBorder="1" applyAlignment="1">
      <alignment horizontal="left" vertical="top" wrapText="1"/>
    </xf>
    <xf numFmtId="0" fontId="5" fillId="3" borderId="5" xfId="2" applyAlignment="1">
      <alignment vertical="top"/>
    </xf>
    <xf numFmtId="0" fontId="7" fillId="0" borderId="7" xfId="0" applyFont="1" applyBorder="1"/>
    <xf numFmtId="0" fontId="5" fillId="3" borderId="8" xfId="2" applyBorder="1"/>
    <xf numFmtId="0" fontId="5" fillId="3" borderId="8" xfId="2" applyBorder="1" applyAlignment="1">
      <alignment vertical="top" wrapText="1"/>
    </xf>
    <xf numFmtId="0" fontId="9" fillId="0" borderId="0" xfId="0" applyFont="1" applyAlignment="1">
      <alignment vertical="center" wrapText="1"/>
    </xf>
    <xf numFmtId="0" fontId="7" fillId="0" borderId="0" xfId="0" applyFont="1"/>
    <xf numFmtId="0" fontId="10" fillId="3" borderId="10" xfId="2" applyFont="1" applyBorder="1"/>
    <xf numFmtId="10" fontId="6" fillId="4" borderId="5" xfId="3" applyNumberFormat="1"/>
    <xf numFmtId="164" fontId="5" fillId="3" borderId="5" xfId="2" applyNumberFormat="1"/>
    <xf numFmtId="0" fontId="0" fillId="0" borderId="0" xfId="0" applyFill="1" applyBorder="1"/>
    <xf numFmtId="0" fontId="7" fillId="0" borderId="9" xfId="4"/>
    <xf numFmtId="10" fontId="0" fillId="0" borderId="0" xfId="0" applyNumberFormat="1"/>
    <xf numFmtId="49" fontId="0" fillId="0" borderId="0" xfId="0" applyNumberFormat="1"/>
    <xf numFmtId="0" fontId="7" fillId="0" borderId="11" xfId="0" applyFont="1" applyFill="1" applyBorder="1" applyAlignment="1">
      <alignment horizontal="left" vertical="top" wrapText="1"/>
    </xf>
    <xf numFmtId="10" fontId="6" fillId="4" borderId="5" xfId="3" applyNumberFormat="1" applyAlignment="1">
      <alignment vertical="top" wrapText="1"/>
    </xf>
    <xf numFmtId="0" fontId="11" fillId="5" borderId="0" xfId="5"/>
    <xf numFmtId="0" fontId="12" fillId="6" borderId="0" xfId="6"/>
    <xf numFmtId="0" fontId="11" fillId="5" borderId="0" xfId="5" applyAlignment="1">
      <alignment vertical="top"/>
    </xf>
    <xf numFmtId="0" fontId="13" fillId="0" borderId="0" xfId="0" applyFont="1"/>
    <xf numFmtId="0" fontId="5" fillId="3" borderId="10" xfId="2" applyBorder="1"/>
    <xf numFmtId="0" fontId="0" fillId="7" borderId="0" xfId="0" applyFont="1" applyFill="1" applyBorder="1" applyAlignment="1">
      <alignment horizontal="left"/>
    </xf>
    <xf numFmtId="165" fontId="16" fillId="8" borderId="12" xfId="0" applyNumberFormat="1" applyFont="1" applyFill="1" applyBorder="1" applyAlignment="1">
      <alignment horizontal="center"/>
    </xf>
    <xf numFmtId="0" fontId="16" fillId="8" borderId="12" xfId="0" applyFont="1" applyFill="1" applyBorder="1" applyAlignment="1">
      <alignment horizontal="left" vertical="top"/>
    </xf>
    <xf numFmtId="0" fontId="16" fillId="8" borderId="12" xfId="0" applyFont="1" applyFill="1" applyBorder="1" applyAlignment="1">
      <alignment horizontal="center"/>
    </xf>
    <xf numFmtId="166" fontId="0" fillId="9" borderId="12" xfId="0" applyNumberFormat="1" applyFont="1" applyFill="1" applyBorder="1" applyAlignment="1">
      <alignment horizontal="right"/>
    </xf>
    <xf numFmtId="0" fontId="16" fillId="8" borderId="12" xfId="0" applyFont="1" applyFill="1" applyBorder="1" applyAlignment="1">
      <alignment horizontal="left" vertical="top" wrapText="1"/>
    </xf>
    <xf numFmtId="0" fontId="16" fillId="8" borderId="12" xfId="0" applyFont="1" applyFill="1" applyBorder="1" applyAlignment="1">
      <alignment horizontal="right"/>
    </xf>
    <xf numFmtId="0" fontId="16" fillId="8" borderId="12" xfId="0" applyFont="1" applyFill="1" applyBorder="1" applyAlignment="1">
      <alignment horizontal="left"/>
    </xf>
    <xf numFmtId="0" fontId="16" fillId="8" borderId="12" xfId="0" applyFont="1" applyFill="1" applyBorder="1" applyAlignment="1">
      <alignment horizontal="left" wrapText="1"/>
    </xf>
    <xf numFmtId="167" fontId="0" fillId="9" borderId="12" xfId="0" applyNumberFormat="1" applyFont="1" applyFill="1" applyBorder="1" applyAlignment="1">
      <alignment horizontal="right"/>
    </xf>
    <xf numFmtId="0" fontId="0" fillId="9" borderId="12" xfId="0" applyFont="1" applyFill="1" applyBorder="1" applyAlignment="1">
      <alignment horizontal="left"/>
    </xf>
    <xf numFmtId="0" fontId="0" fillId="9" borderId="12" xfId="0" applyFont="1" applyFill="1" applyBorder="1" applyAlignment="1">
      <alignment horizontal="right" wrapText="1"/>
    </xf>
    <xf numFmtId="0" fontId="16" fillId="8" borderId="12" xfId="0" applyFont="1" applyFill="1" applyBorder="1" applyAlignment="1">
      <alignment horizontal="center"/>
    </xf>
    <xf numFmtId="0" fontId="0" fillId="7" borderId="0" xfId="0" applyFont="1" applyFill="1" applyBorder="1" applyAlignment="1">
      <alignment horizontal="left"/>
    </xf>
    <xf numFmtId="0" fontId="0" fillId="7" borderId="0" xfId="0" applyFont="1" applyFill="1" applyBorder="1" applyAlignment="1">
      <alignment horizontal="left"/>
    </xf>
    <xf numFmtId="168" fontId="0" fillId="9" borderId="12" xfId="0" applyNumberFormat="1" applyFont="1" applyFill="1" applyBorder="1" applyAlignment="1">
      <alignment horizontal="right"/>
    </xf>
    <xf numFmtId="170" fontId="0" fillId="9" borderId="12" xfId="0" applyNumberFormat="1" applyFont="1" applyFill="1" applyBorder="1" applyAlignment="1">
      <alignment horizontal="right"/>
    </xf>
    <xf numFmtId="0" fontId="7" fillId="7" borderId="0" xfId="0" applyFont="1" applyFill="1" applyBorder="1" applyAlignment="1">
      <alignment horizontal="left"/>
    </xf>
    <xf numFmtId="0" fontId="16" fillId="8" borderId="12" xfId="0" applyFont="1" applyFill="1" applyBorder="1" applyAlignment="1">
      <alignment horizontal="center"/>
    </xf>
    <xf numFmtId="0" fontId="0" fillId="7" borderId="13" xfId="0" applyFont="1" applyFill="1" applyBorder="1" applyAlignment="1">
      <alignment horizontal="center"/>
    </xf>
    <xf numFmtId="0" fontId="0" fillId="7" borderId="0" xfId="0" applyFont="1" applyFill="1" applyBorder="1" applyAlignment="1">
      <alignment horizontal="left"/>
    </xf>
    <xf numFmtId="169" fontId="7" fillId="10" borderId="0" xfId="0" applyNumberFormat="1" applyFont="1" applyFill="1"/>
    <xf numFmtId="0" fontId="7" fillId="10" borderId="0" xfId="0" applyFont="1" applyFill="1"/>
    <xf numFmtId="0" fontId="5" fillId="11" borderId="5" xfId="2" applyFill="1"/>
    <xf numFmtId="0" fontId="5" fillId="11" borderId="8" xfId="2" applyFill="1" applyBorder="1"/>
    <xf numFmtId="0" fontId="10" fillId="11" borderId="10" xfId="2" applyFont="1" applyFill="1" applyBorder="1"/>
    <xf numFmtId="0" fontId="0" fillId="7" borderId="0" xfId="0" applyFont="1" applyFill="1" applyBorder="1" applyAlignment="1">
      <alignment horizontal="left"/>
    </xf>
    <xf numFmtId="166" fontId="0" fillId="7" borderId="0" xfId="0" applyNumberFormat="1" applyFont="1" applyFill="1" applyBorder="1" applyAlignment="1">
      <alignment horizontal="left"/>
    </xf>
    <xf numFmtId="0" fontId="0" fillId="0" borderId="0" xfId="0" applyAlignment="1">
      <alignment wrapText="1"/>
    </xf>
    <xf numFmtId="0" fontId="0" fillId="0" borderId="0" xfId="0" applyAlignment="1">
      <alignment horizontal="center"/>
    </xf>
    <xf numFmtId="0" fontId="17" fillId="0" borderId="0" xfId="8" applyAlignment="1" applyProtection="1">
      <alignment horizontal="center"/>
    </xf>
    <xf numFmtId="0" fontId="0" fillId="12" borderId="12" xfId="0" applyFont="1" applyFill="1" applyBorder="1" applyAlignment="1">
      <alignment horizontal="left"/>
    </xf>
    <xf numFmtId="0" fontId="0" fillId="7" borderId="13" xfId="0" applyFont="1" applyFill="1" applyBorder="1" applyAlignment="1"/>
    <xf numFmtId="0" fontId="2" fillId="7" borderId="0" xfId="0" applyFont="1" applyFill="1" applyBorder="1" applyAlignment="1">
      <alignment wrapText="1"/>
    </xf>
    <xf numFmtId="0" fontId="0" fillId="7" borderId="0" xfId="0" applyFont="1" applyFill="1" applyBorder="1" applyAlignment="1"/>
    <xf numFmtId="1" fontId="0" fillId="9" borderId="12" xfId="0" applyNumberFormat="1" applyFont="1" applyFill="1" applyBorder="1" applyAlignment="1">
      <alignment horizontal="left"/>
    </xf>
    <xf numFmtId="167" fontId="0" fillId="9" borderId="0" xfId="0" applyNumberFormat="1" applyFont="1" applyFill="1" applyBorder="1" applyAlignment="1">
      <alignment horizontal="right"/>
    </xf>
    <xf numFmtId="1" fontId="0" fillId="9" borderId="13" xfId="0" applyNumberFormat="1" applyFont="1" applyFill="1" applyBorder="1" applyAlignment="1">
      <alignment horizontal="left"/>
    </xf>
    <xf numFmtId="0" fontId="0" fillId="9" borderId="13" xfId="0" applyFont="1" applyFill="1" applyBorder="1" applyAlignment="1">
      <alignment horizontal="left"/>
    </xf>
    <xf numFmtId="1" fontId="0" fillId="12" borderId="12" xfId="0" applyNumberFormat="1" applyFont="1" applyFill="1" applyBorder="1" applyAlignment="1">
      <alignment horizontal="left"/>
    </xf>
    <xf numFmtId="0" fontId="7" fillId="9" borderId="12" xfId="0" applyFont="1" applyFill="1" applyBorder="1" applyAlignment="1">
      <alignment horizontal="right" wrapText="1"/>
    </xf>
    <xf numFmtId="167" fontId="7" fillId="9" borderId="12" xfId="0" applyNumberFormat="1" applyFont="1" applyFill="1" applyBorder="1" applyAlignment="1">
      <alignment horizontal="right" wrapText="1"/>
    </xf>
    <xf numFmtId="1" fontId="0" fillId="9" borderId="12" xfId="0" applyNumberFormat="1" applyFont="1" applyFill="1" applyBorder="1" applyAlignment="1">
      <alignment horizontal="left" wrapText="1"/>
    </xf>
    <xf numFmtId="9" fontId="0" fillId="12" borderId="12" xfId="9" applyFont="1" applyFill="1" applyBorder="1" applyAlignment="1">
      <alignment horizontal="left"/>
    </xf>
    <xf numFmtId="9" fontId="0" fillId="9" borderId="12" xfId="9" applyFont="1" applyFill="1" applyBorder="1" applyAlignment="1">
      <alignment horizontal="left"/>
    </xf>
    <xf numFmtId="171" fontId="0" fillId="12" borderId="12" xfId="9" applyNumberFormat="1" applyFont="1" applyFill="1" applyBorder="1" applyAlignment="1">
      <alignment horizontal="left"/>
    </xf>
    <xf numFmtId="171" fontId="0" fillId="9" borderId="12" xfId="9" applyNumberFormat="1" applyFont="1" applyFill="1" applyBorder="1" applyAlignment="1">
      <alignment horizontal="left"/>
    </xf>
    <xf numFmtId="171" fontId="0" fillId="0" borderId="12" xfId="9" applyNumberFormat="1" applyFont="1" applyFill="1" applyBorder="1" applyAlignment="1">
      <alignment horizontal="left"/>
    </xf>
    <xf numFmtId="171" fontId="0" fillId="0" borderId="14" xfId="9" applyNumberFormat="1" applyFont="1" applyFill="1" applyBorder="1" applyAlignment="1">
      <alignment horizontal="left"/>
    </xf>
    <xf numFmtId="171" fontId="0" fillId="9" borderId="14" xfId="9" applyNumberFormat="1" applyFont="1" applyFill="1" applyBorder="1" applyAlignment="1">
      <alignment horizontal="left"/>
    </xf>
    <xf numFmtId="171" fontId="0" fillId="12" borderId="14" xfId="9" applyNumberFormat="1" applyFont="1" applyFill="1" applyBorder="1" applyAlignment="1">
      <alignment horizontal="left"/>
    </xf>
    <xf numFmtId="9" fontId="0" fillId="9" borderId="14" xfId="9" applyFont="1" applyFill="1" applyBorder="1" applyAlignment="1">
      <alignment horizontal="left"/>
    </xf>
    <xf numFmtId="167" fontId="0" fillId="9" borderId="12" xfId="0" applyNumberFormat="1" applyFont="1" applyFill="1" applyBorder="1" applyAlignment="1">
      <alignment horizontal="right" wrapText="1"/>
    </xf>
    <xf numFmtId="0" fontId="0" fillId="7" borderId="0" xfId="0" applyFont="1" applyFill="1" applyBorder="1" applyAlignment="1">
      <alignment horizontal="left"/>
    </xf>
    <xf numFmtId="171" fontId="0" fillId="13" borderId="12" xfId="9" applyNumberFormat="1" applyFont="1" applyFill="1" applyBorder="1" applyAlignment="1">
      <alignment horizontal="left"/>
    </xf>
    <xf numFmtId="9" fontId="0" fillId="13" borderId="12" xfId="9" applyFont="1" applyFill="1" applyBorder="1" applyAlignment="1">
      <alignment horizontal="left"/>
    </xf>
    <xf numFmtId="0" fontId="2" fillId="7" borderId="0" xfId="0" applyFont="1" applyFill="1" applyBorder="1" applyAlignment="1"/>
    <xf numFmtId="0" fontId="0" fillId="0" borderId="0" xfId="0" applyAlignment="1">
      <alignment horizontal="center" wrapText="1"/>
    </xf>
    <xf numFmtId="166" fontId="0" fillId="9" borderId="12" xfId="0" applyNumberFormat="1" applyFont="1" applyFill="1" applyBorder="1" applyAlignment="1">
      <alignment horizontal="right" wrapText="1"/>
    </xf>
    <xf numFmtId="0" fontId="0" fillId="7" borderId="0" xfId="0" applyFont="1" applyFill="1" applyBorder="1" applyAlignment="1">
      <alignment horizontal="left"/>
    </xf>
    <xf numFmtId="0" fontId="16" fillId="8" borderId="12" xfId="0" applyFont="1" applyFill="1" applyBorder="1" applyAlignment="1">
      <alignment horizontal="center"/>
    </xf>
    <xf numFmtId="0" fontId="0" fillId="7" borderId="13" xfId="0" applyFont="1" applyFill="1" applyBorder="1" applyAlignment="1">
      <alignment horizontal="center"/>
    </xf>
    <xf numFmtId="0" fontId="16" fillId="8" borderId="12" xfId="0" applyFont="1" applyFill="1" applyBorder="1" applyAlignment="1">
      <alignment horizontal="center"/>
    </xf>
    <xf numFmtId="0" fontId="0" fillId="7" borderId="0" xfId="0" applyFont="1" applyFill="1" applyBorder="1" applyAlignment="1">
      <alignment horizontal="left"/>
    </xf>
    <xf numFmtId="0" fontId="0" fillId="0" borderId="0" xfId="0" applyFont="1" applyFill="1" applyBorder="1" applyAlignment="1">
      <alignment horizontal="left"/>
    </xf>
    <xf numFmtId="0" fontId="16" fillId="0" borderId="0" xfId="0" applyFont="1" applyFill="1" applyBorder="1" applyAlignment="1">
      <alignment horizontal="center"/>
    </xf>
    <xf numFmtId="0" fontId="2" fillId="0" borderId="16" xfId="0" applyFont="1" applyFill="1" applyBorder="1" applyAlignment="1">
      <alignment horizontal="center" wrapText="1"/>
    </xf>
    <xf numFmtId="0" fontId="0" fillId="0" borderId="17" xfId="0" applyFont="1" applyFill="1" applyBorder="1" applyAlignment="1">
      <alignment horizontal="left"/>
    </xf>
    <xf numFmtId="0" fontId="0" fillId="0" borderId="18" xfId="0" applyFont="1" applyFill="1" applyBorder="1" applyAlignment="1">
      <alignment horizontal="left"/>
    </xf>
    <xf numFmtId="0" fontId="0" fillId="0" borderId="19" xfId="0" applyFont="1" applyFill="1" applyBorder="1" applyAlignment="1">
      <alignment horizontal="left"/>
    </xf>
    <xf numFmtId="0" fontId="0" fillId="0" borderId="20" xfId="0" applyFont="1" applyFill="1" applyBorder="1" applyAlignment="1">
      <alignment horizontal="left"/>
    </xf>
    <xf numFmtId="0" fontId="16" fillId="0" borderId="16" xfId="0" applyFont="1" applyFill="1" applyBorder="1" applyAlignment="1">
      <alignment horizontal="left" vertical="top"/>
    </xf>
    <xf numFmtId="3" fontId="14" fillId="0" borderId="16" xfId="0" applyNumberFormat="1" applyFont="1" applyFill="1" applyBorder="1" applyAlignment="1">
      <alignment horizontal="center" vertical="center"/>
    </xf>
    <xf numFmtId="3" fontId="0" fillId="0" borderId="16" xfId="0" applyNumberFormat="1" applyFont="1" applyFill="1" applyBorder="1" applyAlignment="1">
      <alignment horizontal="center"/>
    </xf>
    <xf numFmtId="3" fontId="0" fillId="0" borderId="17" xfId="0" applyNumberFormat="1" applyFont="1" applyFill="1" applyBorder="1" applyAlignment="1">
      <alignment horizontal="center"/>
    </xf>
    <xf numFmtId="0" fontId="0" fillId="14" borderId="21" xfId="0" applyFont="1" applyFill="1" applyBorder="1" applyAlignment="1">
      <alignment horizontal="left"/>
    </xf>
    <xf numFmtId="0" fontId="0" fillId="14" borderId="16" xfId="0" applyFont="1" applyFill="1" applyBorder="1" applyAlignment="1">
      <alignment horizontal="left"/>
    </xf>
    <xf numFmtId="172" fontId="0" fillId="0" borderId="21" xfId="0" applyNumberFormat="1" applyFont="1" applyFill="1" applyBorder="1" applyAlignment="1">
      <alignment horizontal="center"/>
    </xf>
    <xf numFmtId="172" fontId="0" fillId="0" borderId="16" xfId="0" applyNumberFormat="1" applyFont="1" applyFill="1" applyBorder="1" applyAlignment="1">
      <alignment horizontal="center"/>
    </xf>
    <xf numFmtId="0" fontId="0" fillId="0" borderId="0" xfId="0" applyFont="1" applyFill="1" applyBorder="1" applyAlignment="1">
      <alignment horizontal="left"/>
    </xf>
    <xf numFmtId="0" fontId="16" fillId="0" borderId="16" xfId="0" applyFont="1" applyFill="1" applyBorder="1" applyAlignment="1">
      <alignment horizontal="left" vertical="top" wrapText="1"/>
    </xf>
    <xf numFmtId="0" fontId="2" fillId="0" borderId="0" xfId="0" applyFont="1" applyFill="1" applyBorder="1" applyAlignment="1">
      <alignment horizontal="center" wrapText="1"/>
    </xf>
    <xf numFmtId="3" fontId="16" fillId="0" borderId="22" xfId="0" applyNumberFormat="1" applyFont="1" applyFill="1" applyBorder="1" applyAlignment="1">
      <alignment horizontal="center"/>
    </xf>
    <xf numFmtId="3" fontId="16" fillId="0" borderId="0" xfId="0" applyNumberFormat="1" applyFont="1" applyFill="1" applyBorder="1" applyAlignment="1">
      <alignment horizontal="center"/>
    </xf>
    <xf numFmtId="0" fontId="0" fillId="0" borderId="23" xfId="0" applyFont="1" applyFill="1" applyBorder="1" applyAlignment="1">
      <alignment horizontal="left"/>
    </xf>
    <xf numFmtId="0" fontId="16" fillId="0" borderId="23" xfId="0" applyFont="1" applyFill="1" applyBorder="1" applyAlignment="1">
      <alignment horizontal="center" vertical="center"/>
    </xf>
    <xf numFmtId="172" fontId="14" fillId="0" borderId="16" xfId="0" quotePrefix="1" applyNumberFormat="1" applyFont="1" applyFill="1" applyBorder="1" applyAlignment="1">
      <alignment horizontal="center"/>
    </xf>
    <xf numFmtId="0" fontId="14" fillId="0" borderId="0" xfId="0" applyFont="1" applyFill="1" applyBorder="1" applyAlignment="1">
      <alignment horizontal="left"/>
    </xf>
    <xf numFmtId="166" fontId="0" fillId="0" borderId="12" xfId="0" applyNumberFormat="1" applyFont="1" applyFill="1" applyBorder="1" applyAlignment="1">
      <alignment horizontal="center"/>
    </xf>
    <xf numFmtId="0" fontId="16" fillId="0" borderId="0" xfId="0" applyFont="1" applyFill="1" applyBorder="1" applyAlignment="1">
      <alignment horizontal="left"/>
    </xf>
    <xf numFmtId="0" fontId="0" fillId="0" borderId="0" xfId="0" applyFont="1" applyFill="1" applyBorder="1" applyAlignment="1">
      <alignment horizontal="center"/>
    </xf>
    <xf numFmtId="0" fontId="22" fillId="0" borderId="0" xfId="0" applyFont="1" applyFill="1" applyBorder="1" applyAlignment="1">
      <alignment horizontal="left"/>
    </xf>
    <xf numFmtId="0" fontId="23" fillId="0" borderId="0" xfId="0" applyFont="1" applyFill="1" applyBorder="1"/>
    <xf numFmtId="0" fontId="24" fillId="0" borderId="0" xfId="0" applyFont="1" applyFill="1" applyBorder="1"/>
    <xf numFmtId="0" fontId="14" fillId="0" borderId="0"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16" fillId="0" borderId="12" xfId="0" applyFont="1" applyFill="1" applyBorder="1" applyAlignment="1">
      <alignment horizontal="center" vertical="center"/>
    </xf>
    <xf numFmtId="0" fontId="16" fillId="0" borderId="12" xfId="0" applyFont="1" applyFill="1" applyBorder="1" applyAlignment="1">
      <alignment horizontal="left" vertical="top"/>
    </xf>
    <xf numFmtId="166" fontId="14"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6" fillId="0" borderId="12" xfId="0" applyFont="1" applyFill="1" applyBorder="1" applyAlignment="1">
      <alignment horizontal="left" vertical="top" wrapText="1"/>
    </xf>
    <xf numFmtId="0" fontId="25" fillId="0" borderId="0" xfId="2" applyFont="1" applyFill="1" applyBorder="1" applyAlignment="1">
      <alignment horizontal="center" vertical="center" wrapText="1"/>
    </xf>
    <xf numFmtId="0" fontId="26" fillId="0" borderId="0" xfId="2" applyFont="1" applyFill="1" applyBorder="1" applyAlignment="1">
      <alignment horizontal="center" vertical="center" wrapText="1"/>
    </xf>
    <xf numFmtId="0" fontId="14" fillId="0" borderId="0" xfId="0" applyFont="1" applyFill="1" applyBorder="1" applyAlignment="1">
      <alignment horizontal="center" vertical="center"/>
    </xf>
    <xf numFmtId="166" fontId="0" fillId="0" borderId="0" xfId="0" applyNumberFormat="1" applyFont="1" applyFill="1" applyBorder="1" applyAlignment="1">
      <alignment horizontal="center" vertical="center"/>
    </xf>
    <xf numFmtId="171" fontId="0" fillId="0" borderId="0" xfId="0" applyNumberFormat="1" applyFont="1" applyFill="1" applyBorder="1" applyAlignment="1">
      <alignment horizontal="center"/>
    </xf>
    <xf numFmtId="0" fontId="24" fillId="0" borderId="16" xfId="0" applyFont="1" applyFill="1" applyBorder="1"/>
    <xf numFmtId="3" fontId="14" fillId="9" borderId="16" xfId="7" applyNumberFormat="1" applyFont="1" applyFill="1" applyBorder="1" applyAlignment="1">
      <alignment horizontal="center"/>
    </xf>
    <xf numFmtId="3" fontId="14" fillId="0" borderId="16" xfId="0" applyNumberFormat="1" applyFont="1" applyFill="1" applyBorder="1" applyAlignment="1">
      <alignment horizontal="center" vertical="center" wrapText="1"/>
    </xf>
    <xf numFmtId="171" fontId="0" fillId="0" borderId="16" xfId="0" applyNumberFormat="1" applyFont="1" applyFill="1" applyBorder="1" applyAlignment="1">
      <alignment horizontal="center"/>
    </xf>
    <xf numFmtId="0" fontId="16" fillId="0" borderId="16" xfId="0" applyFont="1" applyFill="1" applyBorder="1" applyAlignment="1">
      <alignment horizontal="left"/>
    </xf>
    <xf numFmtId="3" fontId="0" fillId="0" borderId="16" xfId="0" applyNumberFormat="1" applyFont="1" applyFill="1" applyBorder="1" applyAlignment="1">
      <alignment horizontal="center" vertical="center"/>
    </xf>
    <xf numFmtId="3" fontId="0" fillId="0" borderId="16" xfId="0" applyNumberFormat="1" applyFill="1" applyBorder="1" applyAlignment="1">
      <alignment horizontal="center" vertical="center"/>
    </xf>
    <xf numFmtId="3" fontId="3" fillId="0" borderId="16" xfId="0" applyNumberFormat="1" applyFont="1" applyFill="1" applyBorder="1" applyAlignment="1">
      <alignment horizontal="center" vertical="center" wrapText="1"/>
    </xf>
    <xf numFmtId="0" fontId="0" fillId="0" borderId="16" xfId="0" applyFont="1" applyFill="1" applyBorder="1" applyAlignment="1">
      <alignment horizontal="left"/>
    </xf>
    <xf numFmtId="3" fontId="0" fillId="0" borderId="16" xfId="0" applyNumberFormat="1" applyFont="1" applyFill="1" applyBorder="1" applyAlignment="1">
      <alignment horizontal="left"/>
    </xf>
    <xf numFmtId="0" fontId="16" fillId="0" borderId="0" xfId="0" applyFont="1" applyFill="1" applyBorder="1" applyAlignment="1">
      <alignment horizontal="center"/>
    </xf>
    <xf numFmtId="0" fontId="16" fillId="15" borderId="31" xfId="0" applyFont="1" applyFill="1" applyBorder="1" applyAlignment="1">
      <alignment horizontal="center"/>
    </xf>
    <xf numFmtId="0" fontId="16" fillId="15" borderId="32" xfId="0" applyFont="1" applyFill="1" applyBorder="1" applyAlignment="1">
      <alignment horizontal="center"/>
    </xf>
    <xf numFmtId="0" fontId="16" fillId="0" borderId="0" xfId="0" applyFont="1" applyFill="1" applyBorder="1" applyAlignment="1">
      <alignment horizontal="left" vertical="top"/>
    </xf>
    <xf numFmtId="166" fontId="0" fillId="0" borderId="0" xfId="0" applyNumberFormat="1" applyFont="1" applyFill="1" applyBorder="1" applyAlignment="1">
      <alignment horizontal="left"/>
    </xf>
    <xf numFmtId="0" fontId="16" fillId="0" borderId="0" xfId="0" applyFont="1" applyFill="1" applyBorder="1" applyAlignment="1">
      <alignment horizontal="center" vertical="center"/>
    </xf>
    <xf numFmtId="0" fontId="16" fillId="0" borderId="0" xfId="0" applyFont="1" applyFill="1" applyBorder="1" applyAlignment="1">
      <alignment vertical="center" wrapText="1"/>
    </xf>
    <xf numFmtId="0" fontId="16" fillId="14" borderId="16" xfId="0" applyFont="1" applyFill="1" applyBorder="1" applyAlignment="1">
      <alignment horizontal="left" vertical="top"/>
    </xf>
    <xf numFmtId="3" fontId="3" fillId="14" borderId="16" xfId="0" applyNumberFormat="1" applyFont="1" applyFill="1" applyBorder="1" applyAlignment="1">
      <alignment horizontal="center" vertical="center" wrapText="1"/>
    </xf>
    <xf numFmtId="171" fontId="0" fillId="0" borderId="0" xfId="0" applyNumberFormat="1" applyFont="1" applyFill="1" applyBorder="1" applyAlignment="1">
      <alignment horizontal="left"/>
    </xf>
    <xf numFmtId="0" fontId="0" fillId="0" borderId="0" xfId="0" applyFont="1" applyFill="1" applyBorder="1" applyAlignment="1"/>
    <xf numFmtId="0" fontId="27" fillId="0" borderId="0" xfId="0" applyFont="1" applyFill="1" applyBorder="1" applyAlignment="1"/>
    <xf numFmtId="0" fontId="16" fillId="0" borderId="12" xfId="0" applyFont="1" applyFill="1" applyBorder="1" applyAlignment="1">
      <alignment horizontal="center"/>
    </xf>
    <xf numFmtId="0" fontId="14" fillId="0" borderId="0" xfId="0" applyFont="1" applyFill="1" applyBorder="1" applyAlignment="1">
      <alignment horizontal="center"/>
    </xf>
    <xf numFmtId="0" fontId="16" fillId="0" borderId="29" xfId="0" applyFont="1" applyFill="1" applyBorder="1" applyAlignment="1">
      <alignment horizontal="center"/>
    </xf>
    <xf numFmtId="0" fontId="14" fillId="0" borderId="0" xfId="0" applyFont="1" applyFill="1" applyBorder="1"/>
    <xf numFmtId="0" fontId="14" fillId="0" borderId="16" xfId="0" applyFont="1" applyFill="1" applyBorder="1" applyAlignment="1">
      <alignment horizontal="left"/>
    </xf>
    <xf numFmtId="3" fontId="14" fillId="0" borderId="16" xfId="0" applyNumberFormat="1" applyFont="1" applyFill="1" applyBorder="1" applyAlignment="1">
      <alignment horizontal="center"/>
    </xf>
    <xf numFmtId="0" fontId="14" fillId="0" borderId="24" xfId="0" applyFont="1" applyFill="1" applyBorder="1" applyAlignment="1">
      <alignment horizontal="left"/>
    </xf>
    <xf numFmtId="3" fontId="14" fillId="0" borderId="24" xfId="0" applyNumberFormat="1" applyFont="1" applyFill="1" applyBorder="1" applyAlignment="1">
      <alignment horizontal="center"/>
    </xf>
    <xf numFmtId="0" fontId="14" fillId="0" borderId="33" xfId="0" applyFont="1" applyFill="1" applyBorder="1" applyAlignment="1">
      <alignment horizontal="left"/>
    </xf>
    <xf numFmtId="3" fontId="0" fillId="0" borderId="33" xfId="0" applyNumberFormat="1" applyFont="1" applyFill="1" applyBorder="1" applyAlignment="1">
      <alignment horizontal="center"/>
    </xf>
    <xf numFmtId="0" fontId="14" fillId="0" borderId="34" xfId="0" applyFont="1" applyFill="1" applyBorder="1" applyAlignment="1">
      <alignment horizontal="left"/>
    </xf>
    <xf numFmtId="3" fontId="14" fillId="0" borderId="34" xfId="0" applyNumberFormat="1" applyFont="1" applyFill="1" applyBorder="1" applyAlignment="1">
      <alignment horizontal="center"/>
    </xf>
    <xf numFmtId="0" fontId="14" fillId="0" borderId="25" xfId="0" applyFont="1" applyFill="1" applyBorder="1" applyAlignment="1">
      <alignment horizontal="left"/>
    </xf>
    <xf numFmtId="3" fontId="0" fillId="0" borderId="25" xfId="0" applyNumberFormat="1" applyFont="1" applyFill="1" applyBorder="1" applyAlignment="1">
      <alignment horizontal="center"/>
    </xf>
    <xf numFmtId="165" fontId="16" fillId="0" borderId="0" xfId="0" applyNumberFormat="1" applyFont="1" applyFill="1" applyBorder="1" applyAlignment="1">
      <alignment horizontal="center"/>
    </xf>
    <xf numFmtId="166" fontId="0" fillId="0" borderId="0" xfId="0" applyNumberFormat="1" applyFont="1" applyFill="1" applyBorder="1" applyAlignment="1">
      <alignment horizontal="center"/>
    </xf>
    <xf numFmtId="0" fontId="16" fillId="0" borderId="0" xfId="0" applyFont="1" applyFill="1" applyBorder="1" applyAlignment="1">
      <alignment horizontal="left" vertical="top" wrapText="1"/>
    </xf>
    <xf numFmtId="166" fontId="0" fillId="0" borderId="16" xfId="0" applyNumberFormat="1" applyFont="1" applyFill="1" applyBorder="1" applyAlignment="1">
      <alignment horizontal="center"/>
    </xf>
    <xf numFmtId="0" fontId="0" fillId="7" borderId="0" xfId="0" applyFont="1" applyFill="1" applyBorder="1" applyAlignment="1">
      <alignment horizontal="left"/>
    </xf>
    <xf numFmtId="168" fontId="0" fillId="9" borderId="0" xfId="0" applyNumberFormat="1" applyFont="1" applyFill="1" applyBorder="1" applyAlignment="1">
      <alignment horizontal="right"/>
    </xf>
    <xf numFmtId="168" fontId="3" fillId="0" borderId="0" xfId="0" applyNumberFormat="1" applyFont="1" applyAlignment="1">
      <alignment vertical="top" wrapText="1"/>
    </xf>
    <xf numFmtId="170" fontId="7" fillId="10" borderId="0" xfId="0" applyNumberFormat="1" applyFont="1" applyFill="1"/>
    <xf numFmtId="168" fontId="7" fillId="0" borderId="0" xfId="0" applyNumberFormat="1" applyFont="1"/>
    <xf numFmtId="168" fontId="0" fillId="0" borderId="0" xfId="0" applyNumberFormat="1"/>
    <xf numFmtId="168" fontId="10" fillId="3" borderId="10" xfId="2" applyNumberFormat="1" applyFont="1" applyBorder="1"/>
    <xf numFmtId="0" fontId="14" fillId="7" borderId="2" xfId="0" applyFont="1" applyFill="1" applyBorder="1" applyAlignment="1">
      <alignment horizontal="right"/>
    </xf>
    <xf numFmtId="0" fontId="14" fillId="7" borderId="0" xfId="0" applyFont="1" applyFill="1" applyBorder="1" applyAlignment="1">
      <alignment horizontal="right"/>
    </xf>
    <xf numFmtId="0" fontId="1" fillId="9" borderId="35" xfId="0" applyFont="1" applyFill="1" applyBorder="1" applyAlignment="1">
      <alignment horizontal="right" vertical="top"/>
    </xf>
    <xf numFmtId="0" fontId="1" fillId="9" borderId="36" xfId="0" applyFont="1" applyFill="1" applyBorder="1" applyAlignment="1">
      <alignment horizontal="right" vertical="top"/>
    </xf>
    <xf numFmtId="0" fontId="1" fillId="9" borderId="37" xfId="0" applyFont="1" applyFill="1" applyBorder="1" applyAlignment="1">
      <alignment horizontal="right" vertical="top"/>
    </xf>
    <xf numFmtId="0" fontId="1" fillId="9" borderId="0" xfId="0" applyFont="1" applyFill="1" applyBorder="1" applyAlignment="1">
      <alignment horizontal="right" vertical="top"/>
    </xf>
    <xf numFmtId="3" fontId="14" fillId="7" borderId="0" xfId="0" applyNumberFormat="1" applyFont="1" applyFill="1" applyBorder="1" applyAlignment="1">
      <alignment horizontal="right"/>
    </xf>
    <xf numFmtId="0" fontId="29" fillId="16" borderId="38" xfId="0" applyFont="1" applyFill="1" applyBorder="1" applyAlignment="1">
      <alignment horizontal="center" vertical="center" wrapText="1"/>
    </xf>
    <xf numFmtId="0" fontId="0" fillId="7" borderId="0" xfId="0" applyFill="1" applyAlignment="1">
      <alignment horizontal="left"/>
    </xf>
    <xf numFmtId="0" fontId="16" fillId="8" borderId="12" xfId="0" applyFont="1" applyFill="1" applyBorder="1" applyAlignment="1">
      <alignment horizontal="right" wrapText="1"/>
    </xf>
    <xf numFmtId="170" fontId="0" fillId="9" borderId="12" xfId="0" applyNumberFormat="1" applyFill="1" applyBorder="1" applyAlignment="1">
      <alignment horizontal="right"/>
    </xf>
    <xf numFmtId="169" fontId="0" fillId="9" borderId="12" xfId="0" applyNumberFormat="1" applyFill="1" applyBorder="1" applyAlignment="1">
      <alignment horizontal="right"/>
    </xf>
    <xf numFmtId="0" fontId="16" fillId="0" borderId="0" xfId="0" applyFont="1" applyAlignment="1">
      <alignment horizontal="center"/>
    </xf>
    <xf numFmtId="170" fontId="0" fillId="0" borderId="0" xfId="0" applyNumberFormat="1"/>
    <xf numFmtId="168" fontId="0" fillId="9" borderId="12" xfId="0" applyNumberFormat="1" applyFill="1" applyBorder="1" applyAlignment="1">
      <alignment horizontal="right"/>
    </xf>
    <xf numFmtId="171" fontId="0" fillId="0" borderId="0" xfId="9" applyNumberFormat="1" applyFont="1"/>
    <xf numFmtId="171" fontId="0" fillId="0" borderId="0" xfId="0" applyNumberFormat="1"/>
    <xf numFmtId="0" fontId="2" fillId="7" borderId="0" xfId="0" applyFont="1" applyFill="1" applyAlignment="1">
      <alignment wrapText="1"/>
    </xf>
    <xf numFmtId="0" fontId="0" fillId="7" borderId="0" xfId="0" applyFill="1"/>
    <xf numFmtId="0" fontId="2" fillId="7" borderId="0" xfId="0" applyFont="1" applyFill="1"/>
    <xf numFmtId="0" fontId="0" fillId="7" borderId="13" xfId="0" applyFill="1" applyBorder="1"/>
    <xf numFmtId="167" fontId="0" fillId="9" borderId="12" xfId="0" applyNumberFormat="1" applyFill="1" applyBorder="1" applyAlignment="1">
      <alignment horizontal="right"/>
    </xf>
    <xf numFmtId="1" fontId="0" fillId="12" borderId="12" xfId="0" applyNumberFormat="1" applyFill="1" applyBorder="1" applyAlignment="1">
      <alignment horizontal="left"/>
    </xf>
    <xf numFmtId="1" fontId="0" fillId="9" borderId="12" xfId="0" applyNumberFormat="1" applyFill="1" applyBorder="1" applyAlignment="1">
      <alignment horizontal="left"/>
    </xf>
    <xf numFmtId="167" fontId="0" fillId="9" borderId="12" xfId="0" applyNumberFormat="1" applyFill="1" applyBorder="1" applyAlignment="1">
      <alignment horizontal="right" wrapText="1"/>
    </xf>
    <xf numFmtId="171" fontId="0" fillId="0" borderId="12" xfId="9" applyNumberFormat="1" applyFont="1" applyBorder="1" applyAlignment="1">
      <alignment horizontal="left"/>
    </xf>
    <xf numFmtId="0" fontId="0" fillId="9" borderId="12" xfId="0" applyFill="1" applyBorder="1" applyAlignment="1">
      <alignment horizontal="right" wrapText="1"/>
    </xf>
    <xf numFmtId="1" fontId="0" fillId="9" borderId="12" xfId="0" applyNumberFormat="1" applyFill="1" applyBorder="1" applyAlignment="1">
      <alignment horizontal="left" wrapText="1"/>
    </xf>
    <xf numFmtId="171" fontId="0" fillId="0" borderId="14" xfId="9" applyNumberFormat="1" applyFont="1" applyBorder="1" applyAlignment="1">
      <alignment horizontal="left"/>
    </xf>
    <xf numFmtId="167" fontId="0" fillId="9" borderId="0" xfId="0" applyNumberFormat="1" applyFill="1" applyAlignment="1">
      <alignment horizontal="right"/>
    </xf>
    <xf numFmtId="1" fontId="0" fillId="9" borderId="13" xfId="0" applyNumberFormat="1" applyFill="1" applyBorder="1" applyAlignment="1">
      <alignment horizontal="left"/>
    </xf>
    <xf numFmtId="9" fontId="0" fillId="9" borderId="13" xfId="9" applyFont="1" applyFill="1" applyBorder="1" applyAlignment="1">
      <alignment horizontal="left"/>
    </xf>
    <xf numFmtId="0" fontId="0" fillId="12" borderId="12" xfId="0" applyFill="1" applyBorder="1" applyAlignment="1">
      <alignment horizontal="left"/>
    </xf>
    <xf numFmtId="0" fontId="0" fillId="9" borderId="12" xfId="0" applyFill="1" applyBorder="1" applyAlignment="1">
      <alignment horizontal="left"/>
    </xf>
    <xf numFmtId="0" fontId="0" fillId="9" borderId="13" xfId="0" applyFill="1" applyBorder="1" applyAlignment="1">
      <alignment horizontal="left"/>
    </xf>
    <xf numFmtId="171" fontId="30" fillId="0" borderId="0" xfId="9" applyNumberFormat="1" applyFont="1"/>
    <xf numFmtId="171" fontId="13" fillId="0" borderId="0" xfId="9" applyNumberFormat="1" applyFont="1"/>
    <xf numFmtId="2" fontId="0" fillId="0" borderId="0" xfId="0" applyNumberFormat="1"/>
    <xf numFmtId="0" fontId="31" fillId="0" borderId="39" xfId="0" applyFont="1" applyBorder="1" applyAlignment="1">
      <alignment vertical="center"/>
    </xf>
    <xf numFmtId="0" fontId="2" fillId="0" borderId="0" xfId="0" applyFont="1" applyAlignment="1">
      <alignment vertical="top" wrapText="1"/>
    </xf>
    <xf numFmtId="170" fontId="0" fillId="0" borderId="22" xfId="0" applyNumberFormat="1" applyBorder="1" applyAlignment="1">
      <alignment horizontal="right"/>
    </xf>
    <xf numFmtId="9" fontId="0" fillId="0" borderId="0" xfId="0" applyNumberFormat="1" applyFont="1" applyFill="1" applyBorder="1" applyAlignment="1">
      <alignment horizontal="center"/>
    </xf>
    <xf numFmtId="9" fontId="0" fillId="0" borderId="0" xfId="0" applyNumberFormat="1" applyFont="1" applyFill="1" applyBorder="1" applyAlignment="1">
      <alignment horizontal="left"/>
    </xf>
    <xf numFmtId="9" fontId="16" fillId="0" borderId="0" xfId="0" applyNumberFormat="1" applyFont="1" applyFill="1" applyBorder="1" applyAlignment="1">
      <alignment horizontal="center"/>
    </xf>
    <xf numFmtId="167" fontId="0" fillId="9" borderId="0" xfId="0" applyNumberFormat="1" applyFill="1" applyBorder="1" applyAlignment="1">
      <alignment horizontal="right"/>
    </xf>
    <xf numFmtId="1" fontId="0" fillId="12" borderId="13" xfId="0" applyNumberFormat="1" applyFill="1" applyBorder="1" applyAlignment="1">
      <alignment horizontal="left"/>
    </xf>
    <xf numFmtId="0" fontId="0" fillId="7" borderId="13" xfId="0" applyFont="1" applyFill="1" applyBorder="1" applyAlignment="1">
      <alignment horizontal="center"/>
    </xf>
    <xf numFmtId="0" fontId="16" fillId="8" borderId="12" xfId="0" applyFont="1" applyFill="1" applyBorder="1" applyAlignment="1">
      <alignment horizontal="center"/>
    </xf>
    <xf numFmtId="0" fontId="0" fillId="7" borderId="0" xfId="0" applyFont="1" applyFill="1" applyBorder="1" applyAlignment="1">
      <alignment horizontal="left" wrapText="1"/>
    </xf>
    <xf numFmtId="0" fontId="0" fillId="7" borderId="0" xfId="0" applyFont="1" applyFill="1" applyBorder="1" applyAlignment="1">
      <alignment horizontal="left"/>
    </xf>
    <xf numFmtId="0" fontId="2" fillId="7" borderId="0" xfId="0" applyFont="1" applyFill="1" applyBorder="1" applyAlignment="1">
      <alignment horizontal="left" wrapText="1"/>
    </xf>
    <xf numFmtId="0" fontId="16" fillId="8" borderId="12" xfId="0" applyFont="1" applyFill="1" applyBorder="1" applyAlignment="1">
      <alignment horizontal="center" vertical="center"/>
    </xf>
    <xf numFmtId="0" fontId="15" fillId="7" borderId="0" xfId="0" applyFont="1" applyFill="1" applyBorder="1" applyAlignment="1">
      <alignment horizontal="left" wrapText="1"/>
    </xf>
    <xf numFmtId="0" fontId="28" fillId="8" borderId="12" xfId="0" applyFont="1" applyFill="1" applyBorder="1" applyAlignment="1">
      <alignment horizontal="center"/>
    </xf>
    <xf numFmtId="0" fontId="0" fillId="0" borderId="13" xfId="0" applyBorder="1" applyAlignment="1">
      <alignment horizontal="center" wrapText="1"/>
    </xf>
    <xf numFmtId="0" fontId="0" fillId="0" borderId="0" xfId="0" applyFont="1" applyFill="1" applyBorder="1" applyAlignment="1">
      <alignment horizontal="center" wrapText="1"/>
    </xf>
    <xf numFmtId="0" fontId="16" fillId="0" borderId="0" xfId="0" applyFont="1" applyFill="1" applyBorder="1" applyAlignment="1">
      <alignment horizontal="left"/>
    </xf>
    <xf numFmtId="0" fontId="16" fillId="0" borderId="0" xfId="0" applyFont="1" applyFill="1" applyBorder="1" applyAlignment="1">
      <alignment horizontal="center"/>
    </xf>
    <xf numFmtId="0" fontId="16" fillId="0" borderId="26" xfId="0" applyFont="1" applyFill="1" applyBorder="1" applyAlignment="1">
      <alignment horizontal="center"/>
    </xf>
    <xf numFmtId="0" fontId="16" fillId="0" borderId="15" xfId="0" applyFont="1" applyFill="1" applyBorder="1" applyAlignment="1">
      <alignment horizontal="center"/>
    </xf>
    <xf numFmtId="0" fontId="2" fillId="0" borderId="0" xfId="0" applyFont="1" applyFill="1" applyBorder="1" applyAlignment="1">
      <alignment horizontal="center" wrapText="1"/>
    </xf>
    <xf numFmtId="0" fontId="14" fillId="0" borderId="24" xfId="0" applyFont="1" applyFill="1" applyBorder="1" applyAlignment="1">
      <alignment horizontal="left" vertical="center" wrapText="1"/>
    </xf>
    <xf numFmtId="0" fontId="14" fillId="0" borderId="25" xfId="0" applyFont="1" applyFill="1" applyBorder="1" applyAlignment="1">
      <alignment horizontal="left" vertical="center" wrapText="1"/>
    </xf>
    <xf numFmtId="0" fontId="16" fillId="8" borderId="30" xfId="0" applyFont="1" applyFill="1" applyBorder="1" applyAlignment="1">
      <alignment horizontal="center"/>
    </xf>
    <xf numFmtId="0" fontId="16" fillId="8" borderId="31" xfId="0" applyFont="1" applyFill="1" applyBorder="1" applyAlignment="1">
      <alignment horizontal="center"/>
    </xf>
    <xf numFmtId="0" fontId="16" fillId="15" borderId="27" xfId="0" applyFont="1" applyFill="1" applyBorder="1" applyAlignment="1">
      <alignment horizontal="center"/>
    </xf>
    <xf numFmtId="0" fontId="16" fillId="15" borderId="28" xfId="0" applyFont="1" applyFill="1" applyBorder="1" applyAlignment="1">
      <alignment horizontal="center"/>
    </xf>
    <xf numFmtId="0" fontId="16" fillId="15" borderId="29" xfId="0" applyFont="1" applyFill="1" applyBorder="1" applyAlignment="1">
      <alignment horizontal="center"/>
    </xf>
    <xf numFmtId="0" fontId="16" fillId="15" borderId="30" xfId="0" applyFont="1" applyFill="1" applyBorder="1" applyAlignment="1">
      <alignment horizontal="center"/>
    </xf>
    <xf numFmtId="0" fontId="16" fillId="15" borderId="31" xfId="0" applyFont="1" applyFill="1" applyBorder="1" applyAlignment="1">
      <alignment horizontal="center"/>
    </xf>
    <xf numFmtId="0" fontId="0" fillId="0" borderId="0" xfId="0" applyFont="1" applyFill="1" applyBorder="1" applyAlignment="1">
      <alignment horizontal="left"/>
    </xf>
    <xf numFmtId="0" fontId="16" fillId="0" borderId="0" xfId="0" applyFont="1" applyFill="1" applyBorder="1" applyAlignment="1">
      <alignment horizontal="left" vertical="center" wrapText="1"/>
    </xf>
    <xf numFmtId="0" fontId="14"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Border="1" applyAlignment="1">
      <alignment horizontal="left" wrapText="1"/>
    </xf>
    <xf numFmtId="0" fontId="23" fillId="0" borderId="0" xfId="0" applyFont="1" applyFill="1" applyBorder="1" applyAlignment="1">
      <alignment horizontal="center" vertical="center" wrapText="1"/>
    </xf>
    <xf numFmtId="0" fontId="22" fillId="0" borderId="0" xfId="0" applyFont="1" applyFill="1" applyBorder="1" applyAlignment="1">
      <alignment horizontal="left"/>
    </xf>
    <xf numFmtId="0" fontId="23" fillId="0" borderId="0" xfId="0" applyFont="1" applyFill="1" applyBorder="1" applyAlignment="1">
      <alignment horizontal="center"/>
    </xf>
    <xf numFmtId="0" fontId="16" fillId="0" borderId="16"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16" fillId="0" borderId="33"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12" xfId="0" applyFont="1" applyFill="1" applyBorder="1" applyAlignment="1">
      <alignment horizontal="center" vertical="center"/>
    </xf>
    <xf numFmtId="0" fontId="16" fillId="0" borderId="12" xfId="0" applyFont="1" applyFill="1" applyBorder="1" applyAlignment="1">
      <alignment horizontal="center"/>
    </xf>
    <xf numFmtId="0" fontId="2" fillId="7" borderId="0" xfId="0" applyFont="1" applyFill="1" applyAlignment="1">
      <alignment horizontal="left" wrapText="1"/>
    </xf>
    <xf numFmtId="0" fontId="0" fillId="7" borderId="0" xfId="0" applyFill="1" applyAlignment="1">
      <alignment horizontal="left"/>
    </xf>
    <xf numFmtId="0" fontId="16" fillId="7" borderId="0" xfId="0" applyFont="1" applyFill="1" applyAlignment="1">
      <alignment horizontal="left"/>
    </xf>
    <xf numFmtId="0" fontId="0" fillId="7" borderId="0" xfId="0" applyFill="1" applyAlignment="1">
      <alignment horizontal="left" wrapText="1"/>
    </xf>
    <xf numFmtId="0" fontId="21" fillId="7" borderId="13" xfId="0" applyFont="1" applyFill="1" applyBorder="1" applyAlignment="1">
      <alignment horizontal="center"/>
    </xf>
    <xf numFmtId="0" fontId="2" fillId="7" borderId="0" xfId="0" applyFont="1" applyFill="1" applyAlignment="1">
      <alignment horizontal="left"/>
    </xf>
  </cellXfs>
  <cellStyles count="10">
    <cellStyle name="Calculation" xfId="3" builtinId="22"/>
    <cellStyle name="Good" xfId="5" builtinId="26"/>
    <cellStyle name="Heading 1" xfId="1" builtinId="16"/>
    <cellStyle name="Hyperlink" xfId="8" builtinId="8"/>
    <cellStyle name="Input" xfId="2" builtinId="20"/>
    <cellStyle name="Neutral" xfId="6" builtinId="28"/>
    <cellStyle name="Normal" xfId="0" builtinId="0"/>
    <cellStyle name="Normal 2" xfId="7" xr:uid="{00000000-0005-0000-0000-000007000000}"/>
    <cellStyle name="Percent" xfId="9" builtinId="5"/>
    <cellStyle name="Total" xfId="4" builtinId="25"/>
  </cellStyles>
  <dxfs count="0"/>
  <tableStyles count="0" defaultTableStyle="TableStyleMedium2" defaultPivotStyle="PivotStyleMedium9"/>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21.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5.xml"/><Relationship Id="rId1" Type="http://schemas.microsoft.com/office/2011/relationships/chartStyle" Target="style15.xml"/></Relationships>
</file>

<file path=xl/charts/_rels/chart23.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4.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5.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6.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28.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19.xml"/><Relationship Id="rId1" Type="http://schemas.microsoft.com/office/2011/relationships/chartStyle" Target="style19.xml"/></Relationships>
</file>

<file path=xl/charts/_rels/chart3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1.xml"/><Relationship Id="rId1" Type="http://schemas.microsoft.com/office/2011/relationships/chartStyle" Target="style2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2.xml"/><Relationship Id="rId1" Type="http://schemas.microsoft.com/office/2011/relationships/chartStyle" Target="style22.xml"/></Relationships>
</file>

<file path=xl/charts/_rels/chart3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4.xml"/><Relationship Id="rId1" Type="http://schemas.microsoft.com/office/2011/relationships/chartStyle" Target="style2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5.xml"/><Relationship Id="rId1" Type="http://schemas.microsoft.com/office/2011/relationships/chartStyle" Target="style2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26.xml"/><Relationship Id="rId1" Type="http://schemas.microsoft.com/office/2011/relationships/chartStyle" Target="style26.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3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4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4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4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4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5.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6.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7.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36.xml"/><Relationship Id="rId1" Type="http://schemas.microsoft.com/office/2011/relationships/chartStyle" Target="style36.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37.xml"/><Relationship Id="rId1" Type="http://schemas.microsoft.com/office/2011/relationships/chartStyle" Target="style3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4_1b. Frequency of individual drug T-codes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'4_1.1b_Codes_List'!$Q$4</c:f>
              <c:strCache>
                <c:ptCount val="1"/>
                <c:pt idx="0">
                  <c:v>Colorado</c:v>
                </c:pt>
              </c:strCache>
            </c:strRef>
          </c:tx>
          <c:spPr>
            <a:solidFill>
              <a:schemeClr val="accent1"/>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'4_1.1b_Codes_List'!$Q$5:$Q$19</c:f>
              <c:numCache>
                <c:formatCode>0.00%</c:formatCode>
                <c:ptCount val="15"/>
                <c:pt idx="0">
                  <c:v>6.7443987197073618E-3</c:v>
                </c:pt>
                <c:pt idx="1">
                  <c:v>2.1719250114311845E-3</c:v>
                </c:pt>
                <c:pt idx="2">
                  <c:v>2.6634659350708734E-2</c:v>
                </c:pt>
                <c:pt idx="3">
                  <c:v>0.15020576131687244</c:v>
                </c:pt>
                <c:pt idx="4">
                  <c:v>0.22862368541380887</c:v>
                </c:pt>
                <c:pt idx="5">
                  <c:v>2.6291723822588018E-3</c:v>
                </c:pt>
                <c:pt idx="6">
                  <c:v>0.14597622313671696</c:v>
                </c:pt>
                <c:pt idx="7">
                  <c:v>0.15043438500228623</c:v>
                </c:pt>
                <c:pt idx="8">
                  <c:v>2.5605852766346592E-2</c:v>
                </c:pt>
                <c:pt idx="9">
                  <c:v>5.4755372656607224E-2</c:v>
                </c:pt>
                <c:pt idx="10">
                  <c:v>2.5148605395518976E-2</c:v>
                </c:pt>
                <c:pt idx="11">
                  <c:v>7.3159579332418836E-3</c:v>
                </c:pt>
                <c:pt idx="12">
                  <c:v>3.0292638317329677E-2</c:v>
                </c:pt>
                <c:pt idx="13">
                  <c:v>1.4974851394604482E-2</c:v>
                </c:pt>
                <c:pt idx="14">
                  <c:v>0.12848651120256058</c:v>
                </c:pt>
              </c:numCache>
            </c:numRef>
          </c:val>
          <c:extLst>
            <c:ext xmlns:c16="http://schemas.microsoft.com/office/drawing/2014/chart" uri="{C3380CC4-5D6E-409C-BE32-E72D297353CC}">
              <c16:uniqueId val="{00000000-BB57-9742-9A68-0C516284CF83}"/>
            </c:ext>
          </c:extLst>
        </c:ser>
        <c:ser>
          <c:idx val="1"/>
          <c:order val="1"/>
          <c:tx>
            <c:strRef>
              <c:f>'4_1.1b_Codes_List'!$R$4</c:f>
              <c:strCache>
                <c:ptCount val="1"/>
                <c:pt idx="0">
                  <c:v>Kentucky</c:v>
                </c:pt>
              </c:strCache>
            </c:strRef>
          </c:tx>
          <c:spPr>
            <a:solidFill>
              <a:schemeClr val="accent2"/>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'4_1.1b_Codes_List'!$R$5:$R$19</c:f>
              <c:numCache>
                <c:formatCode>0.00%</c:formatCode>
                <c:ptCount val="15"/>
                <c:pt idx="0">
                  <c:v>4.3764278439899808E-3</c:v>
                </c:pt>
                <c:pt idx="1">
                  <c:v>1.8992045360711237E-3</c:v>
                </c:pt>
                <c:pt idx="2">
                  <c:v>1.8606699512812748E-2</c:v>
                </c:pt>
                <c:pt idx="3">
                  <c:v>5.7278907819768243E-2</c:v>
                </c:pt>
                <c:pt idx="4">
                  <c:v>0.4691035204095676</c:v>
                </c:pt>
                <c:pt idx="5">
                  <c:v>7.7069169579697776E-4</c:v>
                </c:pt>
                <c:pt idx="6">
                  <c:v>0.11276870991715064</c:v>
                </c:pt>
                <c:pt idx="7">
                  <c:v>0.11571385318323195</c:v>
                </c:pt>
                <c:pt idx="8">
                  <c:v>1.6735019680162947E-2</c:v>
                </c:pt>
                <c:pt idx="9">
                  <c:v>3.151578541741213E-2</c:v>
                </c:pt>
                <c:pt idx="10">
                  <c:v>2.5955795326305358E-2</c:v>
                </c:pt>
                <c:pt idx="11">
                  <c:v>4.2663290303046981E-3</c:v>
                </c:pt>
                <c:pt idx="12">
                  <c:v>1.4753241033827861E-2</c:v>
                </c:pt>
                <c:pt idx="13">
                  <c:v>8.395034543502794E-3</c:v>
                </c:pt>
                <c:pt idx="14">
                  <c:v>0.11786078005009495</c:v>
                </c:pt>
              </c:numCache>
            </c:numRef>
          </c:val>
          <c:extLst>
            <c:ext xmlns:c16="http://schemas.microsoft.com/office/drawing/2014/chart" uri="{C3380CC4-5D6E-409C-BE32-E72D297353CC}">
              <c16:uniqueId val="{00000001-BB57-9742-9A68-0C516284CF83}"/>
            </c:ext>
          </c:extLst>
        </c:ser>
        <c:ser>
          <c:idx val="2"/>
          <c:order val="2"/>
          <c:tx>
            <c:strRef>
              <c:f>'4_1.1b_Codes_List'!$S$4</c:f>
              <c:strCache>
                <c:ptCount val="1"/>
                <c:pt idx="0">
                  <c:v>Louisiana</c:v>
                </c:pt>
              </c:strCache>
            </c:strRef>
          </c:tx>
          <c:spPr>
            <a:solidFill>
              <a:schemeClr val="accent3"/>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'4_1.1b_Codes_List'!$S$5:$S$19</c:f>
              <c:numCache>
                <c:formatCode>0.00%</c:formatCode>
                <c:ptCount val="15"/>
                <c:pt idx="0">
                  <c:v>5.0444049733570162E-3</c:v>
                </c:pt>
                <c:pt idx="1">
                  <c:v>2.4156305506216696E-3</c:v>
                </c:pt>
                <c:pt idx="2">
                  <c:v>2.3445825932504442E-2</c:v>
                </c:pt>
                <c:pt idx="3">
                  <c:v>8.7673179396092357E-2</c:v>
                </c:pt>
                <c:pt idx="4">
                  <c:v>0.27474245115452933</c:v>
                </c:pt>
                <c:pt idx="5">
                  <c:v>1.2078152753108348E-3</c:v>
                </c:pt>
                <c:pt idx="6">
                  <c:v>0.17705150976909415</c:v>
                </c:pt>
                <c:pt idx="7">
                  <c:v>0.14550621669626998</c:v>
                </c:pt>
                <c:pt idx="8">
                  <c:v>1.9751332149200711E-2</c:v>
                </c:pt>
                <c:pt idx="9">
                  <c:v>4.7673179396092363E-2</c:v>
                </c:pt>
                <c:pt idx="10">
                  <c:v>3.6802841918294846E-2</c:v>
                </c:pt>
                <c:pt idx="11">
                  <c:v>4.8312611012433391E-3</c:v>
                </c:pt>
                <c:pt idx="12">
                  <c:v>1.5559502664298402E-2</c:v>
                </c:pt>
                <c:pt idx="13">
                  <c:v>9.0230905861456486E-3</c:v>
                </c:pt>
                <c:pt idx="14">
                  <c:v>0.14927175843694493</c:v>
                </c:pt>
              </c:numCache>
            </c:numRef>
          </c:val>
          <c:extLst>
            <c:ext xmlns:c16="http://schemas.microsoft.com/office/drawing/2014/chart" uri="{C3380CC4-5D6E-409C-BE32-E72D297353CC}">
              <c16:uniqueId val="{00000002-BB57-9742-9A68-0C516284CF83}"/>
            </c:ext>
          </c:extLst>
        </c:ser>
        <c:ser>
          <c:idx val="3"/>
          <c:order val="3"/>
          <c:tx>
            <c:strRef>
              <c:f>'4_1.1b_Codes_List'!$T$4</c:f>
              <c:strCache>
                <c:ptCount val="1"/>
                <c:pt idx="0">
                  <c:v>New Mexico</c:v>
                </c:pt>
              </c:strCache>
            </c:strRef>
          </c:tx>
          <c:spPr>
            <a:solidFill>
              <a:schemeClr val="accent4"/>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'4_1.1b_Codes_List'!$T$5:$T$19</c:f>
              <c:numCache>
                <c:formatCode>0.00%</c:formatCode>
                <c:ptCount val="15"/>
                <c:pt idx="0">
                  <c:v>4.5842883934152949E-3</c:v>
                </c:pt>
                <c:pt idx="1">
                  <c:v>2.0837674515524068E-3</c:v>
                </c:pt>
                <c:pt idx="2">
                  <c:v>3.1464888518441342E-2</c:v>
                </c:pt>
                <c:pt idx="3">
                  <c:v>0.11127318191289852</c:v>
                </c:pt>
                <c:pt idx="4">
                  <c:v>0.29964575953323608</c:v>
                </c:pt>
                <c:pt idx="5">
                  <c:v>1.6670139612419254E-3</c:v>
                </c:pt>
                <c:pt idx="6">
                  <c:v>0.15982496353406961</c:v>
                </c:pt>
                <c:pt idx="7">
                  <c:v>0.15419879141487811</c:v>
                </c:pt>
                <c:pt idx="8">
                  <c:v>2.0420921025213586E-2</c:v>
                </c:pt>
                <c:pt idx="9">
                  <c:v>4.91769118566368E-2</c:v>
                </c:pt>
                <c:pt idx="10">
                  <c:v>2.2921441967076475E-2</c:v>
                </c:pt>
                <c:pt idx="11">
                  <c:v>5.8345488643467393E-3</c:v>
                </c:pt>
                <c:pt idx="12">
                  <c:v>2.125442800583455E-2</c:v>
                </c:pt>
                <c:pt idx="13">
                  <c:v>9.1685767868305897E-3</c:v>
                </c:pt>
                <c:pt idx="14">
                  <c:v>0.10648051677432799</c:v>
                </c:pt>
              </c:numCache>
            </c:numRef>
          </c:val>
          <c:extLst>
            <c:ext xmlns:c16="http://schemas.microsoft.com/office/drawing/2014/chart" uri="{C3380CC4-5D6E-409C-BE32-E72D297353CC}">
              <c16:uniqueId val="{00000003-BB57-9742-9A68-0C516284CF83}"/>
            </c:ext>
          </c:extLst>
        </c:ser>
        <c:ser>
          <c:idx val="4"/>
          <c:order val="4"/>
          <c:tx>
            <c:strRef>
              <c:f>'4_1.1b_Codes_List'!$U$4</c:f>
              <c:strCache>
                <c:ptCount val="1"/>
                <c:pt idx="0">
                  <c:v>Tenneesee</c:v>
                </c:pt>
              </c:strCache>
            </c:strRef>
          </c:tx>
          <c:spPr>
            <a:solidFill>
              <a:schemeClr val="accent5"/>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'4_1.1b_Codes_List'!$U$5:$U$19</c:f>
              <c:numCache>
                <c:formatCode>0.00%</c:formatCode>
                <c:ptCount val="15"/>
                <c:pt idx="0">
                  <c:v>5.6160844659103671E-3</c:v>
                </c:pt>
                <c:pt idx="1">
                  <c:v>2.3587554756823543E-3</c:v>
                </c:pt>
                <c:pt idx="2">
                  <c:v>2.4486128271369201E-2</c:v>
                </c:pt>
                <c:pt idx="3">
                  <c:v>9.6315848590362796E-2</c:v>
                </c:pt>
                <c:pt idx="4">
                  <c:v>0.23677412108278109</c:v>
                </c:pt>
                <c:pt idx="5">
                  <c:v>1.3478602718184881E-3</c:v>
                </c:pt>
                <c:pt idx="6">
                  <c:v>0.18156801078288218</c:v>
                </c:pt>
                <c:pt idx="7">
                  <c:v>0.1407952375603729</c:v>
                </c:pt>
                <c:pt idx="8">
                  <c:v>2.4879254183982926E-2</c:v>
                </c:pt>
                <c:pt idx="9">
                  <c:v>5.0657081882511515E-2</c:v>
                </c:pt>
                <c:pt idx="10">
                  <c:v>3.8245535212849603E-2</c:v>
                </c:pt>
                <c:pt idx="11">
                  <c:v>6.233853757160508E-3</c:v>
                </c:pt>
                <c:pt idx="12">
                  <c:v>2.2857463776255194E-2</c:v>
                </c:pt>
                <c:pt idx="13">
                  <c:v>1.3759406941480401E-2</c:v>
                </c:pt>
                <c:pt idx="14">
                  <c:v>0.15410535774458048</c:v>
                </c:pt>
              </c:numCache>
            </c:numRef>
          </c:val>
          <c:extLst>
            <c:ext xmlns:c16="http://schemas.microsoft.com/office/drawing/2014/chart" uri="{C3380CC4-5D6E-409C-BE32-E72D297353CC}">
              <c16:uniqueId val="{00000004-BB57-9742-9A68-0C516284CF83}"/>
            </c:ext>
          </c:extLst>
        </c:ser>
        <c:dLbls>
          <c:showLegendKey val="0"/>
          <c:showVal val="0"/>
          <c:showCatName val="0"/>
          <c:showSerName val="0"/>
          <c:showPercent val="0"/>
          <c:showBubbleSize val="0"/>
        </c:dLbls>
        <c:gapWidth val="219"/>
        <c:overlap val="-27"/>
        <c:axId val="379060384"/>
        <c:axId val="379062112"/>
      </c:barChart>
      <c:catAx>
        <c:axId val="37906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4_1.1b. Frequency of individual drug T-codes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'4_1.1b_Codes_List'!$Q$4</c:f>
              <c:strCache>
                <c:ptCount val="1"/>
                <c:pt idx="0">
                  <c:v>Colorado</c:v>
                </c:pt>
              </c:strCache>
            </c:strRef>
          </c:tx>
          <c:spPr>
            <a:solidFill>
              <a:schemeClr val="accent1"/>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'4_1.1b_Codes_List'!$Q$5:$Q$19</c:f>
              <c:numCache>
                <c:formatCode>0.00%</c:formatCode>
                <c:ptCount val="15"/>
                <c:pt idx="0">
                  <c:v>6.7443987197073618E-3</c:v>
                </c:pt>
                <c:pt idx="1">
                  <c:v>2.1719250114311845E-3</c:v>
                </c:pt>
                <c:pt idx="2">
                  <c:v>2.6634659350708734E-2</c:v>
                </c:pt>
                <c:pt idx="3">
                  <c:v>0.15020576131687244</c:v>
                </c:pt>
                <c:pt idx="4">
                  <c:v>0.22862368541380887</c:v>
                </c:pt>
                <c:pt idx="5">
                  <c:v>2.6291723822588018E-3</c:v>
                </c:pt>
                <c:pt idx="6">
                  <c:v>0.14597622313671696</c:v>
                </c:pt>
                <c:pt idx="7">
                  <c:v>0.15043438500228623</c:v>
                </c:pt>
                <c:pt idx="8">
                  <c:v>2.5605852766346592E-2</c:v>
                </c:pt>
                <c:pt idx="9">
                  <c:v>5.4755372656607224E-2</c:v>
                </c:pt>
                <c:pt idx="10">
                  <c:v>2.5148605395518976E-2</c:v>
                </c:pt>
                <c:pt idx="11">
                  <c:v>7.3159579332418836E-3</c:v>
                </c:pt>
                <c:pt idx="12">
                  <c:v>3.0292638317329677E-2</c:v>
                </c:pt>
                <c:pt idx="13">
                  <c:v>1.4974851394604482E-2</c:v>
                </c:pt>
                <c:pt idx="14">
                  <c:v>0.12848651120256058</c:v>
                </c:pt>
              </c:numCache>
            </c:numRef>
          </c:val>
          <c:extLst>
            <c:ext xmlns:c16="http://schemas.microsoft.com/office/drawing/2014/chart" uri="{C3380CC4-5D6E-409C-BE32-E72D297353CC}">
              <c16:uniqueId val="{00000000-5578-4189-A835-FF3F526EE5AB}"/>
            </c:ext>
          </c:extLst>
        </c:ser>
        <c:ser>
          <c:idx val="1"/>
          <c:order val="1"/>
          <c:tx>
            <c:strRef>
              <c:f>'4_1.1b_Codes_List'!$R$4</c:f>
              <c:strCache>
                <c:ptCount val="1"/>
                <c:pt idx="0">
                  <c:v>Kentucky</c:v>
                </c:pt>
              </c:strCache>
            </c:strRef>
          </c:tx>
          <c:spPr>
            <a:solidFill>
              <a:schemeClr val="accent2"/>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'4_1.1b_Codes_List'!$R$5:$R$19</c:f>
              <c:numCache>
                <c:formatCode>0.00%</c:formatCode>
                <c:ptCount val="15"/>
                <c:pt idx="0">
                  <c:v>4.3764278439899808E-3</c:v>
                </c:pt>
                <c:pt idx="1">
                  <c:v>1.8992045360711237E-3</c:v>
                </c:pt>
                <c:pt idx="2">
                  <c:v>1.8606699512812748E-2</c:v>
                </c:pt>
                <c:pt idx="3">
                  <c:v>5.7278907819768243E-2</c:v>
                </c:pt>
                <c:pt idx="4">
                  <c:v>0.4691035204095676</c:v>
                </c:pt>
                <c:pt idx="5">
                  <c:v>7.7069169579697776E-4</c:v>
                </c:pt>
                <c:pt idx="6">
                  <c:v>0.11276870991715064</c:v>
                </c:pt>
                <c:pt idx="7">
                  <c:v>0.11571385318323195</c:v>
                </c:pt>
                <c:pt idx="8">
                  <c:v>1.6735019680162947E-2</c:v>
                </c:pt>
                <c:pt idx="9">
                  <c:v>3.151578541741213E-2</c:v>
                </c:pt>
                <c:pt idx="10">
                  <c:v>2.5955795326305358E-2</c:v>
                </c:pt>
                <c:pt idx="11">
                  <c:v>4.2663290303046981E-3</c:v>
                </c:pt>
                <c:pt idx="12">
                  <c:v>1.4753241033827861E-2</c:v>
                </c:pt>
                <c:pt idx="13">
                  <c:v>8.395034543502794E-3</c:v>
                </c:pt>
                <c:pt idx="14">
                  <c:v>0.11786078005009495</c:v>
                </c:pt>
              </c:numCache>
            </c:numRef>
          </c:val>
          <c:extLst>
            <c:ext xmlns:c16="http://schemas.microsoft.com/office/drawing/2014/chart" uri="{C3380CC4-5D6E-409C-BE32-E72D297353CC}">
              <c16:uniqueId val="{00000001-5578-4189-A835-FF3F526EE5AB}"/>
            </c:ext>
          </c:extLst>
        </c:ser>
        <c:ser>
          <c:idx val="2"/>
          <c:order val="2"/>
          <c:tx>
            <c:strRef>
              <c:f>'4_1.1b_Codes_List'!$S$4</c:f>
              <c:strCache>
                <c:ptCount val="1"/>
                <c:pt idx="0">
                  <c:v>Louisiana</c:v>
                </c:pt>
              </c:strCache>
            </c:strRef>
          </c:tx>
          <c:spPr>
            <a:solidFill>
              <a:schemeClr val="accent3"/>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'4_1.1b_Codes_List'!$S$5:$S$19</c:f>
              <c:numCache>
                <c:formatCode>0.00%</c:formatCode>
                <c:ptCount val="15"/>
                <c:pt idx="0">
                  <c:v>5.0444049733570162E-3</c:v>
                </c:pt>
                <c:pt idx="1">
                  <c:v>2.4156305506216696E-3</c:v>
                </c:pt>
                <c:pt idx="2">
                  <c:v>2.3445825932504442E-2</c:v>
                </c:pt>
                <c:pt idx="3">
                  <c:v>8.7673179396092357E-2</c:v>
                </c:pt>
                <c:pt idx="4">
                  <c:v>0.27474245115452933</c:v>
                </c:pt>
                <c:pt idx="5">
                  <c:v>1.2078152753108348E-3</c:v>
                </c:pt>
                <c:pt idx="6">
                  <c:v>0.17705150976909415</c:v>
                </c:pt>
                <c:pt idx="7">
                  <c:v>0.14550621669626998</c:v>
                </c:pt>
                <c:pt idx="8">
                  <c:v>1.9751332149200711E-2</c:v>
                </c:pt>
                <c:pt idx="9">
                  <c:v>4.7673179396092363E-2</c:v>
                </c:pt>
                <c:pt idx="10">
                  <c:v>3.6802841918294846E-2</c:v>
                </c:pt>
                <c:pt idx="11">
                  <c:v>4.8312611012433391E-3</c:v>
                </c:pt>
                <c:pt idx="12">
                  <c:v>1.5559502664298402E-2</c:v>
                </c:pt>
                <c:pt idx="13">
                  <c:v>9.0230905861456486E-3</c:v>
                </c:pt>
                <c:pt idx="14">
                  <c:v>0.14927175843694493</c:v>
                </c:pt>
              </c:numCache>
            </c:numRef>
          </c:val>
          <c:extLst>
            <c:ext xmlns:c16="http://schemas.microsoft.com/office/drawing/2014/chart" uri="{C3380CC4-5D6E-409C-BE32-E72D297353CC}">
              <c16:uniqueId val="{00000002-5578-4189-A835-FF3F526EE5AB}"/>
            </c:ext>
          </c:extLst>
        </c:ser>
        <c:ser>
          <c:idx val="3"/>
          <c:order val="3"/>
          <c:tx>
            <c:strRef>
              <c:f>'4_1.1b_Codes_List'!$T$4</c:f>
              <c:strCache>
                <c:ptCount val="1"/>
                <c:pt idx="0">
                  <c:v>New Mexico</c:v>
                </c:pt>
              </c:strCache>
            </c:strRef>
          </c:tx>
          <c:spPr>
            <a:solidFill>
              <a:schemeClr val="accent4"/>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'4_1.1b_Codes_List'!$T$5:$T$19</c:f>
              <c:numCache>
                <c:formatCode>0.00%</c:formatCode>
                <c:ptCount val="15"/>
                <c:pt idx="0">
                  <c:v>4.5842883934152949E-3</c:v>
                </c:pt>
                <c:pt idx="1">
                  <c:v>2.0837674515524068E-3</c:v>
                </c:pt>
                <c:pt idx="2">
                  <c:v>3.1464888518441342E-2</c:v>
                </c:pt>
                <c:pt idx="3">
                  <c:v>0.11127318191289852</c:v>
                </c:pt>
                <c:pt idx="4">
                  <c:v>0.29964575953323608</c:v>
                </c:pt>
                <c:pt idx="5">
                  <c:v>1.6670139612419254E-3</c:v>
                </c:pt>
                <c:pt idx="6">
                  <c:v>0.15982496353406961</c:v>
                </c:pt>
                <c:pt idx="7">
                  <c:v>0.15419879141487811</c:v>
                </c:pt>
                <c:pt idx="8">
                  <c:v>2.0420921025213586E-2</c:v>
                </c:pt>
                <c:pt idx="9">
                  <c:v>4.91769118566368E-2</c:v>
                </c:pt>
                <c:pt idx="10">
                  <c:v>2.2921441967076475E-2</c:v>
                </c:pt>
                <c:pt idx="11">
                  <c:v>5.8345488643467393E-3</c:v>
                </c:pt>
                <c:pt idx="12">
                  <c:v>2.125442800583455E-2</c:v>
                </c:pt>
                <c:pt idx="13">
                  <c:v>9.1685767868305897E-3</c:v>
                </c:pt>
                <c:pt idx="14">
                  <c:v>0.10648051677432799</c:v>
                </c:pt>
              </c:numCache>
            </c:numRef>
          </c:val>
          <c:extLst>
            <c:ext xmlns:c16="http://schemas.microsoft.com/office/drawing/2014/chart" uri="{C3380CC4-5D6E-409C-BE32-E72D297353CC}">
              <c16:uniqueId val="{00000003-5578-4189-A835-FF3F526EE5AB}"/>
            </c:ext>
          </c:extLst>
        </c:ser>
        <c:ser>
          <c:idx val="4"/>
          <c:order val="4"/>
          <c:tx>
            <c:strRef>
              <c:f>'4_1.1b_Codes_List'!$U$4</c:f>
              <c:strCache>
                <c:ptCount val="1"/>
                <c:pt idx="0">
                  <c:v>Tenneesee</c:v>
                </c:pt>
              </c:strCache>
            </c:strRef>
          </c:tx>
          <c:spPr>
            <a:solidFill>
              <a:schemeClr val="accent5"/>
            </a:solidFill>
            <a:ln>
              <a:noFill/>
            </a:ln>
            <a:effectLst/>
          </c:spPr>
          <c:invertIfNegative val="0"/>
          <c:cat>
            <c:strRef>
              <c:f>'4_1.1b_Codes_List'!$P$5:$P$19</c:f>
              <c:strCache>
                <c:ptCount val="15"/>
                <c:pt idx="0">
                  <c:v>T36</c:v>
                </c:pt>
                <c:pt idx="1">
                  <c:v>T37</c:v>
                </c:pt>
                <c:pt idx="2">
                  <c:v>T38</c:v>
                </c:pt>
                <c:pt idx="3">
                  <c:v>T39</c:v>
                </c:pt>
                <c:pt idx="4">
                  <c:v>T40</c:v>
                </c:pt>
                <c:pt idx="5">
                  <c:v>T41</c:v>
                </c:pt>
                <c:pt idx="6">
                  <c:v>T42</c:v>
                </c:pt>
                <c:pt idx="7">
                  <c:v>T43</c:v>
                </c:pt>
                <c:pt idx="8">
                  <c:v>T44</c:v>
                </c:pt>
                <c:pt idx="9">
                  <c:v>T45</c:v>
                </c:pt>
                <c:pt idx="10">
                  <c:v>T46</c:v>
                </c:pt>
                <c:pt idx="11">
                  <c:v>T47</c:v>
                </c:pt>
                <c:pt idx="12">
                  <c:v>T48</c:v>
                </c:pt>
                <c:pt idx="13">
                  <c:v>T49</c:v>
                </c:pt>
                <c:pt idx="14">
                  <c:v>T50</c:v>
                </c:pt>
              </c:strCache>
            </c:strRef>
          </c:cat>
          <c:val>
            <c:numRef>
              <c:f>'4_1.1b_Codes_List'!$U$5:$U$19</c:f>
              <c:numCache>
                <c:formatCode>0.00%</c:formatCode>
                <c:ptCount val="15"/>
                <c:pt idx="0">
                  <c:v>5.6160844659103671E-3</c:v>
                </c:pt>
                <c:pt idx="1">
                  <c:v>2.3587554756823543E-3</c:v>
                </c:pt>
                <c:pt idx="2">
                  <c:v>2.4486128271369201E-2</c:v>
                </c:pt>
                <c:pt idx="3">
                  <c:v>9.6315848590362796E-2</c:v>
                </c:pt>
                <c:pt idx="4">
                  <c:v>0.23677412108278109</c:v>
                </c:pt>
                <c:pt idx="5">
                  <c:v>1.3478602718184881E-3</c:v>
                </c:pt>
                <c:pt idx="6">
                  <c:v>0.18156801078288218</c:v>
                </c:pt>
                <c:pt idx="7">
                  <c:v>0.1407952375603729</c:v>
                </c:pt>
                <c:pt idx="8">
                  <c:v>2.4879254183982926E-2</c:v>
                </c:pt>
                <c:pt idx="9">
                  <c:v>5.0657081882511515E-2</c:v>
                </c:pt>
                <c:pt idx="10">
                  <c:v>3.8245535212849603E-2</c:v>
                </c:pt>
                <c:pt idx="11">
                  <c:v>6.233853757160508E-3</c:v>
                </c:pt>
                <c:pt idx="12">
                  <c:v>2.2857463776255194E-2</c:v>
                </c:pt>
                <c:pt idx="13">
                  <c:v>1.3759406941480401E-2</c:v>
                </c:pt>
                <c:pt idx="14">
                  <c:v>0.15410535774458048</c:v>
                </c:pt>
              </c:numCache>
            </c:numRef>
          </c:val>
          <c:extLst>
            <c:ext xmlns:c16="http://schemas.microsoft.com/office/drawing/2014/chart" uri="{C3380CC4-5D6E-409C-BE32-E72D297353CC}">
              <c16:uniqueId val="{00000004-5578-4189-A835-FF3F526EE5AB}"/>
            </c:ext>
          </c:extLst>
        </c:ser>
        <c:dLbls>
          <c:showLegendKey val="0"/>
          <c:showVal val="0"/>
          <c:showCatName val="0"/>
          <c:showSerName val="0"/>
          <c:showPercent val="0"/>
          <c:showBubbleSize val="0"/>
        </c:dLbls>
        <c:gapWidth val="219"/>
        <c:axId val="379060384"/>
        <c:axId val="379062112"/>
      </c:barChart>
      <c:catAx>
        <c:axId val="3790603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4_3 - Frequency of Intent, Principal or Primary Diagnosis of Drug poisoning (Definition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'4_1.3_Manner'!$P$5</c:f>
              <c:strCache>
                <c:ptCount val="1"/>
                <c:pt idx="0">
                  <c:v>1 Unintentional</c:v>
                </c:pt>
              </c:strCache>
            </c:strRef>
          </c:tx>
          <c:spPr>
            <a:solidFill>
              <a:schemeClr val="accent1"/>
            </a:solidFill>
            <a:ln>
              <a:noFill/>
            </a:ln>
            <a:effectLst/>
          </c:spPr>
          <c:invertIfNegative val="0"/>
          <c:cat>
            <c:strRef>
              <c:f>'4_1.3_Manner'!$Q$4:$U$4</c:f>
              <c:strCache>
                <c:ptCount val="5"/>
                <c:pt idx="0">
                  <c:v>Colorado</c:v>
                </c:pt>
                <c:pt idx="1">
                  <c:v>Kentucky</c:v>
                </c:pt>
                <c:pt idx="2">
                  <c:v>Louisiana</c:v>
                </c:pt>
                <c:pt idx="3">
                  <c:v>New Mexico</c:v>
                </c:pt>
                <c:pt idx="4">
                  <c:v>Tennessee</c:v>
                </c:pt>
              </c:strCache>
            </c:strRef>
          </c:cat>
          <c:val>
            <c:numRef>
              <c:f>'4_1.3_Manner'!$Q$5:$U$5</c:f>
              <c:numCache>
                <c:formatCode>0.00%</c:formatCode>
                <c:ptCount val="5"/>
                <c:pt idx="0">
                  <c:v>0.43010752688172044</c:v>
                </c:pt>
                <c:pt idx="1">
                  <c:v>0.66557540202189514</c:v>
                </c:pt>
                <c:pt idx="2">
                  <c:v>0.48821966341895484</c:v>
                </c:pt>
                <c:pt idx="3">
                  <c:v>0.52545010002222714</c:v>
                </c:pt>
                <c:pt idx="4">
                  <c:v>0.49284003465321308</c:v>
                </c:pt>
              </c:numCache>
            </c:numRef>
          </c:val>
          <c:extLst>
            <c:ext xmlns:c16="http://schemas.microsoft.com/office/drawing/2014/chart" uri="{C3380CC4-5D6E-409C-BE32-E72D297353CC}">
              <c16:uniqueId val="{00000000-A50A-45DF-9FC7-161E0056E910}"/>
            </c:ext>
          </c:extLst>
        </c:ser>
        <c:ser>
          <c:idx val="1"/>
          <c:order val="1"/>
          <c:tx>
            <c:strRef>
              <c:f>'4_1.3_Manner'!$P$6</c:f>
              <c:strCache>
                <c:ptCount val="1"/>
                <c:pt idx="0">
                  <c:v>2 Self-Harm</c:v>
                </c:pt>
              </c:strCache>
            </c:strRef>
          </c:tx>
          <c:spPr>
            <a:solidFill>
              <a:schemeClr val="accent2"/>
            </a:solidFill>
            <a:ln>
              <a:noFill/>
            </a:ln>
            <a:effectLst/>
          </c:spPr>
          <c:invertIfNegative val="0"/>
          <c:cat>
            <c:strRef>
              <c:f>'4_1.3_Manner'!$Q$4:$U$4</c:f>
              <c:strCache>
                <c:ptCount val="5"/>
                <c:pt idx="0">
                  <c:v>Colorado</c:v>
                </c:pt>
                <c:pt idx="1">
                  <c:v>Kentucky</c:v>
                </c:pt>
                <c:pt idx="2">
                  <c:v>Louisiana</c:v>
                </c:pt>
                <c:pt idx="3">
                  <c:v>New Mexico</c:v>
                </c:pt>
                <c:pt idx="4">
                  <c:v>Tennessee</c:v>
                </c:pt>
              </c:strCache>
            </c:strRef>
          </c:cat>
          <c:val>
            <c:numRef>
              <c:f>'4_1.3_Manner'!$Q$6:$U$6</c:f>
              <c:numCache>
                <c:formatCode>0.00%</c:formatCode>
                <c:ptCount val="5"/>
                <c:pt idx="0">
                  <c:v>0.27502067824648468</c:v>
                </c:pt>
                <c:pt idx="1">
                  <c:v>0.14032790320046096</c:v>
                </c:pt>
                <c:pt idx="2">
                  <c:v>0.20062001771479185</c:v>
                </c:pt>
                <c:pt idx="3">
                  <c:v>0.26339186485885752</c:v>
                </c:pt>
                <c:pt idx="4">
                  <c:v>0.2275391122662182</c:v>
                </c:pt>
              </c:numCache>
            </c:numRef>
          </c:val>
          <c:extLst>
            <c:ext xmlns:c16="http://schemas.microsoft.com/office/drawing/2014/chart" uri="{C3380CC4-5D6E-409C-BE32-E72D297353CC}">
              <c16:uniqueId val="{00000001-A50A-45DF-9FC7-161E0056E910}"/>
            </c:ext>
          </c:extLst>
        </c:ser>
        <c:ser>
          <c:idx val="2"/>
          <c:order val="2"/>
          <c:tx>
            <c:strRef>
              <c:f>'4_1.3_Manner'!$P$7</c:f>
              <c:strCache>
                <c:ptCount val="1"/>
                <c:pt idx="0">
                  <c:v>3 Assault</c:v>
                </c:pt>
              </c:strCache>
            </c:strRef>
          </c:tx>
          <c:spPr>
            <a:solidFill>
              <a:schemeClr val="accent3"/>
            </a:solidFill>
            <a:ln>
              <a:noFill/>
            </a:ln>
            <a:effectLst/>
          </c:spPr>
          <c:invertIfNegative val="0"/>
          <c:cat>
            <c:strRef>
              <c:f>'4_1.3_Manner'!$Q$4:$U$4</c:f>
              <c:strCache>
                <c:ptCount val="5"/>
                <c:pt idx="0">
                  <c:v>Colorado</c:v>
                </c:pt>
                <c:pt idx="1">
                  <c:v>Kentucky</c:v>
                </c:pt>
                <c:pt idx="2">
                  <c:v>Louisiana</c:v>
                </c:pt>
                <c:pt idx="3">
                  <c:v>New Mexico</c:v>
                </c:pt>
                <c:pt idx="4">
                  <c:v>Tennessee</c:v>
                </c:pt>
              </c:strCache>
            </c:strRef>
          </c:cat>
          <c:val>
            <c:numRef>
              <c:f>'4_1.3_Manner'!$Q$7:$U$7</c:f>
              <c:numCache>
                <c:formatCode>0.00%</c:formatCode>
                <c:ptCount val="5"/>
                <c:pt idx="0">
                  <c:v>2.0678246484698098E-3</c:v>
                </c:pt>
                <c:pt idx="1">
                  <c:v>1.4928500340474569E-3</c:v>
                </c:pt>
                <c:pt idx="2">
                  <c:v>1.682905225863596E-3</c:v>
                </c:pt>
                <c:pt idx="3">
                  <c:v>2.88953100689042E-3</c:v>
                </c:pt>
                <c:pt idx="4">
                  <c:v>1.7326606533149874E-3</c:v>
                </c:pt>
              </c:numCache>
            </c:numRef>
          </c:val>
          <c:extLst>
            <c:ext xmlns:c16="http://schemas.microsoft.com/office/drawing/2014/chart" uri="{C3380CC4-5D6E-409C-BE32-E72D297353CC}">
              <c16:uniqueId val="{00000002-A50A-45DF-9FC7-161E0056E910}"/>
            </c:ext>
          </c:extLst>
        </c:ser>
        <c:ser>
          <c:idx val="3"/>
          <c:order val="3"/>
          <c:tx>
            <c:strRef>
              <c:f>'4_1.3_Manner'!$P$8</c:f>
              <c:strCache>
                <c:ptCount val="1"/>
                <c:pt idx="0">
                  <c:v>4 Undetermined</c:v>
                </c:pt>
              </c:strCache>
            </c:strRef>
          </c:tx>
          <c:spPr>
            <a:solidFill>
              <a:schemeClr val="accent4"/>
            </a:solidFill>
            <a:ln>
              <a:noFill/>
            </a:ln>
            <a:effectLst/>
          </c:spPr>
          <c:invertIfNegative val="0"/>
          <c:cat>
            <c:strRef>
              <c:f>'4_1.3_Manner'!$Q$4:$U$4</c:f>
              <c:strCache>
                <c:ptCount val="5"/>
                <c:pt idx="0">
                  <c:v>Colorado</c:v>
                </c:pt>
                <c:pt idx="1">
                  <c:v>Kentucky</c:v>
                </c:pt>
                <c:pt idx="2">
                  <c:v>Louisiana</c:v>
                </c:pt>
                <c:pt idx="3">
                  <c:v>New Mexico</c:v>
                </c:pt>
                <c:pt idx="4">
                  <c:v>Tennessee</c:v>
                </c:pt>
              </c:strCache>
            </c:strRef>
          </c:cat>
          <c:val>
            <c:numRef>
              <c:f>'4_1.3_Manner'!$Q$8:$U$8</c:f>
              <c:numCache>
                <c:formatCode>0.00%</c:formatCode>
                <c:ptCount val="5"/>
                <c:pt idx="0">
                  <c:v>5.1075268817204304E-2</c:v>
                </c:pt>
                <c:pt idx="1">
                  <c:v>2.9621287517678487E-2</c:v>
                </c:pt>
                <c:pt idx="2">
                  <c:v>3.3480956598759964E-2</c:v>
                </c:pt>
                <c:pt idx="3">
                  <c:v>3.9342076016892644E-2</c:v>
                </c:pt>
                <c:pt idx="4">
                  <c:v>2.8130255312643328E-2</c:v>
                </c:pt>
              </c:numCache>
            </c:numRef>
          </c:val>
          <c:extLst>
            <c:ext xmlns:c16="http://schemas.microsoft.com/office/drawing/2014/chart" uri="{C3380CC4-5D6E-409C-BE32-E72D297353CC}">
              <c16:uniqueId val="{00000003-A50A-45DF-9FC7-161E0056E910}"/>
            </c:ext>
          </c:extLst>
        </c:ser>
        <c:ser>
          <c:idx val="4"/>
          <c:order val="4"/>
          <c:tx>
            <c:strRef>
              <c:f>'4_1.3_Manner'!$P$9</c:f>
              <c:strCache>
                <c:ptCount val="1"/>
                <c:pt idx="0">
                  <c:v>5 Adverse Effect</c:v>
                </c:pt>
              </c:strCache>
            </c:strRef>
          </c:tx>
          <c:spPr>
            <a:solidFill>
              <a:schemeClr val="accent5"/>
            </a:solidFill>
            <a:ln>
              <a:noFill/>
            </a:ln>
            <a:effectLst/>
          </c:spPr>
          <c:invertIfNegative val="0"/>
          <c:cat>
            <c:strRef>
              <c:f>'4_1.3_Manner'!$Q$4:$U$4</c:f>
              <c:strCache>
                <c:ptCount val="5"/>
                <c:pt idx="0">
                  <c:v>Colorado</c:v>
                </c:pt>
                <c:pt idx="1">
                  <c:v>Kentucky</c:v>
                </c:pt>
                <c:pt idx="2">
                  <c:v>Louisiana</c:v>
                </c:pt>
                <c:pt idx="3">
                  <c:v>New Mexico</c:v>
                </c:pt>
                <c:pt idx="4">
                  <c:v>Tennessee</c:v>
                </c:pt>
              </c:strCache>
            </c:strRef>
          </c:cat>
          <c:val>
            <c:numRef>
              <c:f>'4_1.3_Manner'!$Q$9:$U$9</c:f>
              <c:numCache>
                <c:formatCode>0.00%</c:formatCode>
                <c:ptCount val="5"/>
                <c:pt idx="0">
                  <c:v>0.24017783291976841</c:v>
                </c:pt>
                <c:pt idx="1">
                  <c:v>0.16206589492430989</c:v>
                </c:pt>
                <c:pt idx="2">
                  <c:v>0.26961913197519927</c:v>
                </c:pt>
                <c:pt idx="3">
                  <c:v>0.16781507001555901</c:v>
                </c:pt>
                <c:pt idx="4">
                  <c:v>0.24695510370483617</c:v>
                </c:pt>
              </c:numCache>
            </c:numRef>
          </c:val>
          <c:extLst>
            <c:ext xmlns:c16="http://schemas.microsoft.com/office/drawing/2014/chart" uri="{C3380CC4-5D6E-409C-BE32-E72D297353CC}">
              <c16:uniqueId val="{00000004-A50A-45DF-9FC7-161E0056E910}"/>
            </c:ext>
          </c:extLst>
        </c:ser>
        <c:ser>
          <c:idx val="5"/>
          <c:order val="5"/>
          <c:tx>
            <c:strRef>
              <c:f>'4_1.3_Manner'!$P$10</c:f>
              <c:strCache>
                <c:ptCount val="1"/>
                <c:pt idx="0">
                  <c:v>6 Underdose</c:v>
                </c:pt>
              </c:strCache>
            </c:strRef>
          </c:tx>
          <c:spPr>
            <a:solidFill>
              <a:schemeClr val="accent6"/>
            </a:solidFill>
            <a:ln>
              <a:noFill/>
            </a:ln>
            <a:effectLst/>
          </c:spPr>
          <c:invertIfNegative val="0"/>
          <c:cat>
            <c:strRef>
              <c:f>'4_1.3_Manner'!$Q$4:$U$4</c:f>
              <c:strCache>
                <c:ptCount val="5"/>
                <c:pt idx="0">
                  <c:v>Colorado</c:v>
                </c:pt>
                <c:pt idx="1">
                  <c:v>Kentucky</c:v>
                </c:pt>
                <c:pt idx="2">
                  <c:v>Louisiana</c:v>
                </c:pt>
                <c:pt idx="3">
                  <c:v>New Mexico</c:v>
                </c:pt>
                <c:pt idx="4">
                  <c:v>Tennessee</c:v>
                </c:pt>
              </c:strCache>
            </c:strRef>
          </c:cat>
          <c:val>
            <c:numRef>
              <c:f>'4_1.3_Manner'!$Q$10:$U$10</c:f>
              <c:numCache>
                <c:formatCode>0.00%</c:formatCode>
                <c:ptCount val="5"/>
                <c:pt idx="0">
                  <c:v>1.5508684863523574E-3</c:v>
                </c:pt>
                <c:pt idx="1">
                  <c:v>9.1666230160808763E-4</c:v>
                </c:pt>
                <c:pt idx="2">
                  <c:v>6.3773250664304693E-3</c:v>
                </c:pt>
                <c:pt idx="3">
                  <c:v>1.1113580795732384E-3</c:v>
                </c:pt>
                <c:pt idx="4">
                  <c:v>2.8028334097742447E-3</c:v>
                </c:pt>
              </c:numCache>
            </c:numRef>
          </c:val>
          <c:extLst>
            <c:ext xmlns:c16="http://schemas.microsoft.com/office/drawing/2014/chart" uri="{C3380CC4-5D6E-409C-BE32-E72D297353CC}">
              <c16:uniqueId val="{00000005-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4_1.4 - Presence of other external cause codes </a:t>
            </a:r>
            <a:r>
              <a:rPr lang="en-US" sz="1400" b="0" i="0" u="none" strike="noStrike" baseline="0">
                <a:effectLst/>
              </a:rPr>
              <a:t>when the principal diagnosis is drug poisoning (Definition 1)</a:t>
            </a:r>
            <a:r>
              <a:rPr lang="en-US"/>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'4_1.4_Other_Codes'!$Q$4</c:f>
              <c:strCache>
                <c:ptCount val="1"/>
                <c:pt idx="0">
                  <c:v>Colorado</c:v>
                </c:pt>
              </c:strCache>
            </c:strRef>
          </c:tx>
          <c:spPr>
            <a:solidFill>
              <a:schemeClr val="accent1"/>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'4_1.4_Other_Codes'!$Q$6:$Q$26</c:f>
              <c:numCache>
                <c:formatCode>0.00%</c:formatCode>
                <c:ptCount val="21"/>
                <c:pt idx="0">
                  <c:v>1.0089991818925552E-2</c:v>
                </c:pt>
                <c:pt idx="1">
                  <c:v>4.0905372238887375E-4</c:v>
                </c:pt>
                <c:pt idx="2">
                  <c:v>1.3907826561221708E-2</c:v>
                </c:pt>
                <c:pt idx="3">
                  <c:v>1.2271611671666213E-3</c:v>
                </c:pt>
                <c:pt idx="4">
                  <c:v>1.3635124079629124E-4</c:v>
                </c:pt>
                <c:pt idx="5">
                  <c:v>1.3635124079629124E-4</c:v>
                </c:pt>
                <c:pt idx="6">
                  <c:v>1.3635124079629124E-4</c:v>
                </c:pt>
                <c:pt idx="7">
                  <c:v>1.2271611671666213E-3</c:v>
                </c:pt>
                <c:pt idx="8">
                  <c:v>8.181074447777475E-4</c:v>
                </c:pt>
                <c:pt idx="9">
                  <c:v>6.6812107990182707E-3</c:v>
                </c:pt>
                <c:pt idx="10">
                  <c:v>2.317971093536951E-3</c:v>
                </c:pt>
                <c:pt idx="11">
                  <c:v>5.4540496318516497E-4</c:v>
                </c:pt>
                <c:pt idx="12">
                  <c:v>0</c:v>
                </c:pt>
                <c:pt idx="13">
                  <c:v>1.3635124079629124E-4</c:v>
                </c:pt>
                <c:pt idx="14">
                  <c:v>1.3635124079629124E-4</c:v>
                </c:pt>
                <c:pt idx="15">
                  <c:v>2.7270248159258248E-4</c:v>
                </c:pt>
                <c:pt idx="16">
                  <c:v>3.5724025088628306E-2</c:v>
                </c:pt>
                <c:pt idx="17">
                  <c:v>0</c:v>
                </c:pt>
                <c:pt idx="18">
                  <c:v>1.3635124079629125E-3</c:v>
                </c:pt>
                <c:pt idx="19">
                  <c:v>4.0905372238887375E-4</c:v>
                </c:pt>
                <c:pt idx="20">
                  <c:v>2.7270248159258248E-4</c:v>
                </c:pt>
              </c:numCache>
            </c:numRef>
          </c:val>
          <c:extLst>
            <c:ext xmlns:c16="http://schemas.microsoft.com/office/drawing/2014/chart" uri="{C3380CC4-5D6E-409C-BE32-E72D297353CC}">
              <c16:uniqueId val="{00000000-BB57-9742-9A68-0C516284CF83}"/>
            </c:ext>
          </c:extLst>
        </c:ser>
        <c:ser>
          <c:idx val="1"/>
          <c:order val="1"/>
          <c:tx>
            <c:strRef>
              <c:f>'4_1.4_Other_Codes'!$R$4</c:f>
              <c:strCache>
                <c:ptCount val="1"/>
                <c:pt idx="0">
                  <c:v>Kentucky</c:v>
                </c:pt>
              </c:strCache>
            </c:strRef>
          </c:tx>
          <c:spPr>
            <a:solidFill>
              <a:schemeClr val="accent2"/>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'4_1.4_Other_Codes'!$R$6:$R$26</c:f>
              <c:numCache>
                <c:formatCode>0.00%</c:formatCode>
                <c:ptCount val="21"/>
                <c:pt idx="0">
                  <c:v>0</c:v>
                </c:pt>
                <c:pt idx="1">
                  <c:v>5.6433408577878106E-3</c:v>
                </c:pt>
                <c:pt idx="2">
                  <c:v>8.4650112866817154E-4</c:v>
                </c:pt>
                <c:pt idx="3">
                  <c:v>7.5558063707047906E-3</c:v>
                </c:pt>
                <c:pt idx="4">
                  <c:v>5.6433408577878099E-4</c:v>
                </c:pt>
                <c:pt idx="5">
                  <c:v>0</c:v>
                </c:pt>
                <c:pt idx="6">
                  <c:v>0</c:v>
                </c:pt>
                <c:pt idx="7">
                  <c:v>0</c:v>
                </c:pt>
                <c:pt idx="8">
                  <c:v>3.7622272385252069E-3</c:v>
                </c:pt>
                <c:pt idx="9">
                  <c:v>6.897416603962879E-4</c:v>
                </c:pt>
                <c:pt idx="10">
                  <c:v>6.1449711562578382E-3</c:v>
                </c:pt>
                <c:pt idx="11">
                  <c:v>1.7870579382994734E-3</c:v>
                </c:pt>
                <c:pt idx="12">
                  <c:v>4.3892651116127413E-4</c:v>
                </c:pt>
                <c:pt idx="13">
                  <c:v>0</c:v>
                </c:pt>
                <c:pt idx="14">
                  <c:v>1.8811136192626034E-4</c:v>
                </c:pt>
                <c:pt idx="15">
                  <c:v>2.5081514923501377E-4</c:v>
                </c:pt>
                <c:pt idx="16">
                  <c:v>2.6084775520441434E-2</c:v>
                </c:pt>
                <c:pt idx="17">
                  <c:v>0</c:v>
                </c:pt>
                <c:pt idx="18">
                  <c:v>8.7785302232254827E-4</c:v>
                </c:pt>
                <c:pt idx="19">
                  <c:v>0</c:v>
                </c:pt>
                <c:pt idx="20">
                  <c:v>0</c:v>
                </c:pt>
              </c:numCache>
            </c:numRef>
          </c:val>
          <c:extLst>
            <c:ext xmlns:c16="http://schemas.microsoft.com/office/drawing/2014/chart" uri="{C3380CC4-5D6E-409C-BE32-E72D297353CC}">
              <c16:uniqueId val="{00000001-BB57-9742-9A68-0C516284CF83}"/>
            </c:ext>
          </c:extLst>
        </c:ser>
        <c:ser>
          <c:idx val="2"/>
          <c:order val="2"/>
          <c:tx>
            <c:strRef>
              <c:f>'4_1.4_Other_Codes'!$S$4</c:f>
              <c:strCache>
                <c:ptCount val="1"/>
                <c:pt idx="0">
                  <c:v>Louisiana</c:v>
                </c:pt>
              </c:strCache>
            </c:strRef>
          </c:tx>
          <c:spPr>
            <a:solidFill>
              <a:schemeClr val="accent3"/>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'4_1.4_Other_Codes'!$S$6:$S$26</c:f>
              <c:numCache>
                <c:formatCode>0.00%</c:formatCode>
                <c:ptCount val="21"/>
                <c:pt idx="0">
                  <c:v>2.1656674415759206E-2</c:v>
                </c:pt>
                <c:pt idx="1">
                  <c:v>3.5482686895876667E-3</c:v>
                </c:pt>
                <c:pt idx="2">
                  <c:v>2.8019087238468125E-2</c:v>
                </c:pt>
                <c:pt idx="3">
                  <c:v>1.3458950201884253E-3</c:v>
                </c:pt>
                <c:pt idx="4">
                  <c:v>0</c:v>
                </c:pt>
                <c:pt idx="5">
                  <c:v>1.223540927444023E-4</c:v>
                </c:pt>
                <c:pt idx="6">
                  <c:v>0</c:v>
                </c:pt>
                <c:pt idx="7">
                  <c:v>3.1812064113544598E-3</c:v>
                </c:pt>
                <c:pt idx="8">
                  <c:v>1.1011868346996207E-3</c:v>
                </c:pt>
                <c:pt idx="9">
                  <c:v>1.4682491129328276E-2</c:v>
                </c:pt>
                <c:pt idx="10">
                  <c:v>9.7883274195521841E-4</c:v>
                </c:pt>
                <c:pt idx="11">
                  <c:v>3.670622782332069E-4</c:v>
                </c:pt>
                <c:pt idx="12">
                  <c:v>1.223540927444023E-4</c:v>
                </c:pt>
                <c:pt idx="13">
                  <c:v>3.670622782332069E-4</c:v>
                </c:pt>
                <c:pt idx="14">
                  <c:v>2.447081854888046E-4</c:v>
                </c:pt>
                <c:pt idx="15">
                  <c:v>6.1177046372201151E-4</c:v>
                </c:pt>
                <c:pt idx="16">
                  <c:v>2.5572005383580079E-2</c:v>
                </c:pt>
                <c:pt idx="17">
                  <c:v>0</c:v>
                </c:pt>
                <c:pt idx="18">
                  <c:v>9.7883274195521841E-4</c:v>
                </c:pt>
                <c:pt idx="19">
                  <c:v>2.447081854888046E-4</c:v>
                </c:pt>
                <c:pt idx="20">
                  <c:v>3.670622782332069E-4</c:v>
                </c:pt>
              </c:numCache>
            </c:numRef>
          </c:val>
          <c:extLst>
            <c:ext xmlns:c16="http://schemas.microsoft.com/office/drawing/2014/chart" uri="{C3380CC4-5D6E-409C-BE32-E72D297353CC}">
              <c16:uniqueId val="{00000002-BB57-9742-9A68-0C516284CF83}"/>
            </c:ext>
          </c:extLst>
        </c:ser>
        <c:ser>
          <c:idx val="3"/>
          <c:order val="3"/>
          <c:tx>
            <c:strRef>
              <c:f>'4_1.4_Other_Codes'!$T$4</c:f>
              <c:strCache>
                <c:ptCount val="1"/>
                <c:pt idx="0">
                  <c:v>New Mexico</c:v>
                </c:pt>
              </c:strCache>
            </c:strRef>
          </c:tx>
          <c:spPr>
            <a:solidFill>
              <a:schemeClr val="accent4"/>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'4_1.4_Other_Codes'!$T$6:$T$26</c:f>
              <c:numCache>
                <c:formatCode>0.00%</c:formatCode>
                <c:ptCount val="21"/>
                <c:pt idx="0">
                  <c:v>6.6755674232309749E-3</c:v>
                </c:pt>
                <c:pt idx="1">
                  <c:v>2.6702269692923899E-4</c:v>
                </c:pt>
                <c:pt idx="2">
                  <c:v>2.6168224299065422E-2</c:v>
                </c:pt>
                <c:pt idx="3">
                  <c:v>1.6021361815754338E-3</c:v>
                </c:pt>
                <c:pt idx="4">
                  <c:v>2.6702269692923899E-4</c:v>
                </c:pt>
                <c:pt idx="5">
                  <c:v>2.6702269692923899E-4</c:v>
                </c:pt>
                <c:pt idx="6">
                  <c:v>0</c:v>
                </c:pt>
                <c:pt idx="7">
                  <c:v>1.3351134846461949E-3</c:v>
                </c:pt>
                <c:pt idx="8">
                  <c:v>5.3404539385847798E-4</c:v>
                </c:pt>
                <c:pt idx="9">
                  <c:v>1.2016021361815754E-2</c:v>
                </c:pt>
                <c:pt idx="10">
                  <c:v>1.6021361815754338E-3</c:v>
                </c:pt>
                <c:pt idx="11">
                  <c:v>8.0106809078771691E-4</c:v>
                </c:pt>
                <c:pt idx="12">
                  <c:v>2.6702269692923899E-4</c:v>
                </c:pt>
                <c:pt idx="13">
                  <c:v>0</c:v>
                </c:pt>
                <c:pt idx="14">
                  <c:v>2.6702269692923899E-4</c:v>
                </c:pt>
                <c:pt idx="15">
                  <c:v>0</c:v>
                </c:pt>
                <c:pt idx="16">
                  <c:v>8.9452603471295064E-2</c:v>
                </c:pt>
                <c:pt idx="17">
                  <c:v>1.6021361815754338E-3</c:v>
                </c:pt>
                <c:pt idx="18">
                  <c:v>1.6021361815754338E-3</c:v>
                </c:pt>
                <c:pt idx="19">
                  <c:v>1.068090787716956E-3</c:v>
                </c:pt>
                <c:pt idx="20">
                  <c:v>0</c:v>
                </c:pt>
              </c:numCache>
            </c:numRef>
          </c:val>
          <c:extLst>
            <c:ext xmlns:c16="http://schemas.microsoft.com/office/drawing/2014/chart" uri="{C3380CC4-5D6E-409C-BE32-E72D297353CC}">
              <c16:uniqueId val="{00000003-BB57-9742-9A68-0C516284CF83}"/>
            </c:ext>
          </c:extLst>
        </c:ser>
        <c:ser>
          <c:idx val="4"/>
          <c:order val="4"/>
          <c:tx>
            <c:strRef>
              <c:f>'4_1.4_Other_Codes'!$U$4</c:f>
              <c:strCache>
                <c:ptCount val="1"/>
                <c:pt idx="0">
                  <c:v>Tennnessee</c:v>
                </c:pt>
              </c:strCache>
            </c:strRef>
          </c:tx>
          <c:spPr>
            <a:solidFill>
              <a:schemeClr val="accent5"/>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'4_1.4_Other_Codes'!$U$6:$U$26</c:f>
              <c:numCache>
                <c:formatCode>0.00%</c:formatCode>
                <c:ptCount val="21"/>
                <c:pt idx="0">
                  <c:v>1.6235310101215952E-2</c:v>
                </c:pt>
                <c:pt idx="1">
                  <c:v>8.8309218123768765E-4</c:v>
                </c:pt>
                <c:pt idx="2">
                  <c:v>1.4333265403165546E-2</c:v>
                </c:pt>
                <c:pt idx="3">
                  <c:v>9.5102234902520212E-4</c:v>
                </c:pt>
                <c:pt idx="4">
                  <c:v>0</c:v>
                </c:pt>
                <c:pt idx="5">
                  <c:v>0</c:v>
                </c:pt>
                <c:pt idx="6">
                  <c:v>0</c:v>
                </c:pt>
                <c:pt idx="7">
                  <c:v>6.7930167787514441E-5</c:v>
                </c:pt>
                <c:pt idx="8">
                  <c:v>1.3586033557502888E-4</c:v>
                </c:pt>
                <c:pt idx="9">
                  <c:v>1.5623938591128319E-3</c:v>
                </c:pt>
                <c:pt idx="10">
                  <c:v>4.0758100672508659E-4</c:v>
                </c:pt>
                <c:pt idx="11">
                  <c:v>2.037905033625433E-4</c:v>
                </c:pt>
                <c:pt idx="12">
                  <c:v>0</c:v>
                </c:pt>
                <c:pt idx="13">
                  <c:v>0</c:v>
                </c:pt>
                <c:pt idx="14">
                  <c:v>6.7930167787514441E-5</c:v>
                </c:pt>
                <c:pt idx="15">
                  <c:v>0</c:v>
                </c:pt>
                <c:pt idx="16">
                  <c:v>2.1737653692004621E-3</c:v>
                </c:pt>
                <c:pt idx="17">
                  <c:v>0</c:v>
                </c:pt>
                <c:pt idx="18">
                  <c:v>0</c:v>
                </c:pt>
                <c:pt idx="19">
                  <c:v>6.7930167787514441E-5</c:v>
                </c:pt>
                <c:pt idx="20">
                  <c:v>0</c:v>
                </c:pt>
              </c:numCache>
            </c:numRef>
          </c:val>
          <c:extLst>
            <c:ext xmlns:c16="http://schemas.microsoft.com/office/drawing/2014/chart" uri="{C3380CC4-5D6E-409C-BE32-E72D297353CC}">
              <c16:uniqueId val="{00000004-BB57-9742-9A68-0C516284CF83}"/>
            </c:ext>
          </c:extLst>
        </c:ser>
        <c:dLbls>
          <c:showLegendKey val="0"/>
          <c:showVal val="0"/>
          <c:showCatName val="0"/>
          <c:showSerName val="0"/>
          <c:showPercent val="0"/>
          <c:showBubbleSize val="0"/>
        </c:dLbls>
        <c:gapWidth val="219"/>
        <c:overlap val="-27"/>
        <c:axId val="379060384"/>
        <c:axId val="379062112"/>
      </c:barChart>
      <c:catAx>
        <c:axId val="37906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4 - Presence of other external cause codes when the principal diagnosis is drug poisoning (definition 1)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'4_1.4_Other_Codes'!$Q$4</c:f>
              <c:strCache>
                <c:ptCount val="1"/>
                <c:pt idx="0">
                  <c:v>Colorado</c:v>
                </c:pt>
              </c:strCache>
            </c:strRef>
          </c:tx>
          <c:spPr>
            <a:solidFill>
              <a:schemeClr val="accent1"/>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'4_1.4_Other_Codes'!$Q$6:$Q$26</c:f>
              <c:numCache>
                <c:formatCode>0.00%</c:formatCode>
                <c:ptCount val="21"/>
                <c:pt idx="0">
                  <c:v>1.0089991818925552E-2</c:v>
                </c:pt>
                <c:pt idx="1">
                  <c:v>4.0905372238887375E-4</c:v>
                </c:pt>
                <c:pt idx="2">
                  <c:v>1.3907826561221708E-2</c:v>
                </c:pt>
                <c:pt idx="3">
                  <c:v>1.2271611671666213E-3</c:v>
                </c:pt>
                <c:pt idx="4">
                  <c:v>1.3635124079629124E-4</c:v>
                </c:pt>
                <c:pt idx="5">
                  <c:v>1.3635124079629124E-4</c:v>
                </c:pt>
                <c:pt idx="6">
                  <c:v>1.3635124079629124E-4</c:v>
                </c:pt>
                <c:pt idx="7">
                  <c:v>1.2271611671666213E-3</c:v>
                </c:pt>
                <c:pt idx="8">
                  <c:v>8.181074447777475E-4</c:v>
                </c:pt>
                <c:pt idx="9">
                  <c:v>6.6812107990182707E-3</c:v>
                </c:pt>
                <c:pt idx="10">
                  <c:v>2.317971093536951E-3</c:v>
                </c:pt>
                <c:pt idx="11">
                  <c:v>5.4540496318516497E-4</c:v>
                </c:pt>
                <c:pt idx="12">
                  <c:v>0</c:v>
                </c:pt>
                <c:pt idx="13">
                  <c:v>1.3635124079629124E-4</c:v>
                </c:pt>
                <c:pt idx="14">
                  <c:v>1.3635124079629124E-4</c:v>
                </c:pt>
                <c:pt idx="15">
                  <c:v>2.7270248159258248E-4</c:v>
                </c:pt>
                <c:pt idx="16">
                  <c:v>3.5724025088628306E-2</c:v>
                </c:pt>
                <c:pt idx="17">
                  <c:v>0</c:v>
                </c:pt>
                <c:pt idx="18">
                  <c:v>1.3635124079629125E-3</c:v>
                </c:pt>
                <c:pt idx="19">
                  <c:v>4.0905372238887375E-4</c:v>
                </c:pt>
                <c:pt idx="20">
                  <c:v>2.7270248159258248E-4</c:v>
                </c:pt>
              </c:numCache>
            </c:numRef>
          </c:val>
          <c:extLst>
            <c:ext xmlns:c16="http://schemas.microsoft.com/office/drawing/2014/chart" uri="{C3380CC4-5D6E-409C-BE32-E72D297353CC}">
              <c16:uniqueId val="{00000000-0F22-4563-A6CF-07AA5060ADEC}"/>
            </c:ext>
          </c:extLst>
        </c:ser>
        <c:ser>
          <c:idx val="1"/>
          <c:order val="1"/>
          <c:tx>
            <c:strRef>
              <c:f>'4_1.4_Other_Codes'!$R$4</c:f>
              <c:strCache>
                <c:ptCount val="1"/>
                <c:pt idx="0">
                  <c:v>Kentucky</c:v>
                </c:pt>
              </c:strCache>
            </c:strRef>
          </c:tx>
          <c:spPr>
            <a:solidFill>
              <a:schemeClr val="accent2"/>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'4_1.4_Other_Codes'!$R$6:$R$26</c:f>
              <c:numCache>
                <c:formatCode>0.00%</c:formatCode>
                <c:ptCount val="21"/>
                <c:pt idx="0">
                  <c:v>0</c:v>
                </c:pt>
                <c:pt idx="1">
                  <c:v>5.6433408577878106E-3</c:v>
                </c:pt>
                <c:pt idx="2">
                  <c:v>8.4650112866817154E-4</c:v>
                </c:pt>
                <c:pt idx="3">
                  <c:v>7.5558063707047906E-3</c:v>
                </c:pt>
                <c:pt idx="4">
                  <c:v>5.6433408577878099E-4</c:v>
                </c:pt>
                <c:pt idx="5">
                  <c:v>0</c:v>
                </c:pt>
                <c:pt idx="6">
                  <c:v>0</c:v>
                </c:pt>
                <c:pt idx="7">
                  <c:v>0</c:v>
                </c:pt>
                <c:pt idx="8">
                  <c:v>3.7622272385252069E-3</c:v>
                </c:pt>
                <c:pt idx="9">
                  <c:v>6.897416603962879E-4</c:v>
                </c:pt>
                <c:pt idx="10">
                  <c:v>6.1449711562578382E-3</c:v>
                </c:pt>
                <c:pt idx="11">
                  <c:v>1.7870579382994734E-3</c:v>
                </c:pt>
                <c:pt idx="12">
                  <c:v>4.3892651116127413E-4</c:v>
                </c:pt>
                <c:pt idx="13">
                  <c:v>0</c:v>
                </c:pt>
                <c:pt idx="14">
                  <c:v>1.8811136192626034E-4</c:v>
                </c:pt>
                <c:pt idx="15">
                  <c:v>2.5081514923501377E-4</c:v>
                </c:pt>
                <c:pt idx="16">
                  <c:v>2.6084775520441434E-2</c:v>
                </c:pt>
                <c:pt idx="17">
                  <c:v>0</c:v>
                </c:pt>
                <c:pt idx="18">
                  <c:v>8.7785302232254827E-4</c:v>
                </c:pt>
                <c:pt idx="19">
                  <c:v>0</c:v>
                </c:pt>
                <c:pt idx="20">
                  <c:v>0</c:v>
                </c:pt>
              </c:numCache>
            </c:numRef>
          </c:val>
          <c:extLst>
            <c:ext xmlns:c16="http://schemas.microsoft.com/office/drawing/2014/chart" uri="{C3380CC4-5D6E-409C-BE32-E72D297353CC}">
              <c16:uniqueId val="{00000001-0F22-4563-A6CF-07AA5060ADEC}"/>
            </c:ext>
          </c:extLst>
        </c:ser>
        <c:ser>
          <c:idx val="2"/>
          <c:order val="2"/>
          <c:tx>
            <c:strRef>
              <c:f>'4_1.4_Other_Codes'!$S$4</c:f>
              <c:strCache>
                <c:ptCount val="1"/>
                <c:pt idx="0">
                  <c:v>Louisiana</c:v>
                </c:pt>
              </c:strCache>
            </c:strRef>
          </c:tx>
          <c:spPr>
            <a:solidFill>
              <a:schemeClr val="accent3"/>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'4_1.4_Other_Codes'!$S$6:$S$26</c:f>
              <c:numCache>
                <c:formatCode>0.00%</c:formatCode>
                <c:ptCount val="21"/>
                <c:pt idx="0">
                  <c:v>2.1656674415759206E-2</c:v>
                </c:pt>
                <c:pt idx="1">
                  <c:v>3.5482686895876667E-3</c:v>
                </c:pt>
                <c:pt idx="2">
                  <c:v>2.8019087238468125E-2</c:v>
                </c:pt>
                <c:pt idx="3">
                  <c:v>1.3458950201884253E-3</c:v>
                </c:pt>
                <c:pt idx="4">
                  <c:v>0</c:v>
                </c:pt>
                <c:pt idx="5">
                  <c:v>1.223540927444023E-4</c:v>
                </c:pt>
                <c:pt idx="6">
                  <c:v>0</c:v>
                </c:pt>
                <c:pt idx="7">
                  <c:v>3.1812064113544598E-3</c:v>
                </c:pt>
                <c:pt idx="8">
                  <c:v>1.1011868346996207E-3</c:v>
                </c:pt>
                <c:pt idx="9">
                  <c:v>1.4682491129328276E-2</c:v>
                </c:pt>
                <c:pt idx="10">
                  <c:v>9.7883274195521841E-4</c:v>
                </c:pt>
                <c:pt idx="11">
                  <c:v>3.670622782332069E-4</c:v>
                </c:pt>
                <c:pt idx="12">
                  <c:v>1.223540927444023E-4</c:v>
                </c:pt>
                <c:pt idx="13">
                  <c:v>3.670622782332069E-4</c:v>
                </c:pt>
                <c:pt idx="14">
                  <c:v>2.447081854888046E-4</c:v>
                </c:pt>
                <c:pt idx="15">
                  <c:v>6.1177046372201151E-4</c:v>
                </c:pt>
                <c:pt idx="16">
                  <c:v>2.5572005383580079E-2</c:v>
                </c:pt>
                <c:pt idx="17">
                  <c:v>0</c:v>
                </c:pt>
                <c:pt idx="18">
                  <c:v>9.7883274195521841E-4</c:v>
                </c:pt>
                <c:pt idx="19">
                  <c:v>2.447081854888046E-4</c:v>
                </c:pt>
                <c:pt idx="20">
                  <c:v>3.670622782332069E-4</c:v>
                </c:pt>
              </c:numCache>
            </c:numRef>
          </c:val>
          <c:extLst>
            <c:ext xmlns:c16="http://schemas.microsoft.com/office/drawing/2014/chart" uri="{C3380CC4-5D6E-409C-BE32-E72D297353CC}">
              <c16:uniqueId val="{00000002-0F22-4563-A6CF-07AA5060ADEC}"/>
            </c:ext>
          </c:extLst>
        </c:ser>
        <c:ser>
          <c:idx val="3"/>
          <c:order val="3"/>
          <c:tx>
            <c:strRef>
              <c:f>'4_1.4_Other_Codes'!$T$4</c:f>
              <c:strCache>
                <c:ptCount val="1"/>
                <c:pt idx="0">
                  <c:v>New Mexico</c:v>
                </c:pt>
              </c:strCache>
            </c:strRef>
          </c:tx>
          <c:spPr>
            <a:solidFill>
              <a:schemeClr val="accent4"/>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'4_1.4_Other_Codes'!$T$6:$T$26</c:f>
              <c:numCache>
                <c:formatCode>0.00%</c:formatCode>
                <c:ptCount val="21"/>
                <c:pt idx="0">
                  <c:v>6.6755674232309749E-3</c:v>
                </c:pt>
                <c:pt idx="1">
                  <c:v>2.6702269692923899E-4</c:v>
                </c:pt>
                <c:pt idx="2">
                  <c:v>2.6168224299065422E-2</c:v>
                </c:pt>
                <c:pt idx="3">
                  <c:v>1.6021361815754338E-3</c:v>
                </c:pt>
                <c:pt idx="4">
                  <c:v>2.6702269692923899E-4</c:v>
                </c:pt>
                <c:pt idx="5">
                  <c:v>2.6702269692923899E-4</c:v>
                </c:pt>
                <c:pt idx="6">
                  <c:v>0</c:v>
                </c:pt>
                <c:pt idx="7">
                  <c:v>1.3351134846461949E-3</c:v>
                </c:pt>
                <c:pt idx="8">
                  <c:v>5.3404539385847798E-4</c:v>
                </c:pt>
                <c:pt idx="9">
                  <c:v>1.2016021361815754E-2</c:v>
                </c:pt>
                <c:pt idx="10">
                  <c:v>1.6021361815754338E-3</c:v>
                </c:pt>
                <c:pt idx="11">
                  <c:v>8.0106809078771691E-4</c:v>
                </c:pt>
                <c:pt idx="12">
                  <c:v>2.6702269692923899E-4</c:v>
                </c:pt>
                <c:pt idx="13">
                  <c:v>0</c:v>
                </c:pt>
                <c:pt idx="14">
                  <c:v>2.6702269692923899E-4</c:v>
                </c:pt>
                <c:pt idx="15">
                  <c:v>0</c:v>
                </c:pt>
                <c:pt idx="16">
                  <c:v>8.9452603471295064E-2</c:v>
                </c:pt>
                <c:pt idx="17">
                  <c:v>1.6021361815754338E-3</c:v>
                </c:pt>
                <c:pt idx="18">
                  <c:v>1.6021361815754338E-3</c:v>
                </c:pt>
                <c:pt idx="19">
                  <c:v>1.068090787716956E-3</c:v>
                </c:pt>
                <c:pt idx="20">
                  <c:v>0</c:v>
                </c:pt>
              </c:numCache>
            </c:numRef>
          </c:val>
          <c:extLst>
            <c:ext xmlns:c16="http://schemas.microsoft.com/office/drawing/2014/chart" uri="{C3380CC4-5D6E-409C-BE32-E72D297353CC}">
              <c16:uniqueId val="{00000003-0F22-4563-A6CF-07AA5060ADEC}"/>
            </c:ext>
          </c:extLst>
        </c:ser>
        <c:ser>
          <c:idx val="4"/>
          <c:order val="4"/>
          <c:tx>
            <c:strRef>
              <c:f>'4_1.4_Other_Codes'!$U$4</c:f>
              <c:strCache>
                <c:ptCount val="1"/>
                <c:pt idx="0">
                  <c:v>Tennnessee</c:v>
                </c:pt>
              </c:strCache>
            </c:strRef>
          </c:tx>
          <c:spPr>
            <a:solidFill>
              <a:schemeClr val="accent5"/>
            </a:solidFill>
            <a:ln>
              <a:noFill/>
            </a:ln>
            <a:effectLst/>
          </c:spPr>
          <c:invertIfNegative val="0"/>
          <c:cat>
            <c:strRef>
              <c:f>'4_1.4_Other_Codes'!$P$6:$P$26</c:f>
              <c:strCache>
                <c:ptCount val="21"/>
                <c:pt idx="0">
                  <c:v>T14-T14</c:v>
                </c:pt>
                <c:pt idx="1">
                  <c:v>T15-T19</c:v>
                </c:pt>
                <c:pt idx="2">
                  <c:v>T51-T65</c:v>
                </c:pt>
                <c:pt idx="3">
                  <c:v>T66-T78</c:v>
                </c:pt>
                <c:pt idx="4">
                  <c:v>V00-V09</c:v>
                </c:pt>
                <c:pt idx="5">
                  <c:v>V10-V19</c:v>
                </c:pt>
                <c:pt idx="6">
                  <c:v>V20-V29</c:v>
                </c:pt>
                <c:pt idx="7">
                  <c:v>V40-V49</c:v>
                </c:pt>
                <c:pt idx="8">
                  <c:v>V80-V89</c:v>
                </c:pt>
                <c:pt idx="9">
                  <c:v>W00-W19</c:v>
                </c:pt>
                <c:pt idx="10">
                  <c:v>W20-W49</c:v>
                </c:pt>
                <c:pt idx="11">
                  <c:v>W50-W64</c:v>
                </c:pt>
                <c:pt idx="12">
                  <c:v>W85-W99</c:v>
                </c:pt>
                <c:pt idx="13">
                  <c:v>X00-X08</c:v>
                </c:pt>
                <c:pt idx="14">
                  <c:v>X10-X19</c:v>
                </c:pt>
                <c:pt idx="15">
                  <c:v>X30-X39</c:v>
                </c:pt>
                <c:pt idx="16">
                  <c:v>X52-X58</c:v>
                </c:pt>
                <c:pt idx="17">
                  <c:v>X71-X83</c:v>
                </c:pt>
                <c:pt idx="18">
                  <c:v>X92-Y09</c:v>
                </c:pt>
                <c:pt idx="19">
                  <c:v>Y21-Y33</c:v>
                </c:pt>
                <c:pt idx="20">
                  <c:v>Y35-Y38</c:v>
                </c:pt>
              </c:strCache>
            </c:strRef>
          </c:cat>
          <c:val>
            <c:numRef>
              <c:f>'4_1.4_Other_Codes'!$U$6:$U$26</c:f>
              <c:numCache>
                <c:formatCode>0.00%</c:formatCode>
                <c:ptCount val="21"/>
                <c:pt idx="0">
                  <c:v>1.6235310101215952E-2</c:v>
                </c:pt>
                <c:pt idx="1">
                  <c:v>8.8309218123768765E-4</c:v>
                </c:pt>
                <c:pt idx="2">
                  <c:v>1.4333265403165546E-2</c:v>
                </c:pt>
                <c:pt idx="3">
                  <c:v>9.5102234902520212E-4</c:v>
                </c:pt>
                <c:pt idx="4">
                  <c:v>0</c:v>
                </c:pt>
                <c:pt idx="5">
                  <c:v>0</c:v>
                </c:pt>
                <c:pt idx="6">
                  <c:v>0</c:v>
                </c:pt>
                <c:pt idx="7">
                  <c:v>6.7930167787514441E-5</c:v>
                </c:pt>
                <c:pt idx="8">
                  <c:v>1.3586033557502888E-4</c:v>
                </c:pt>
                <c:pt idx="9">
                  <c:v>1.5623938591128319E-3</c:v>
                </c:pt>
                <c:pt idx="10">
                  <c:v>4.0758100672508659E-4</c:v>
                </c:pt>
                <c:pt idx="11">
                  <c:v>2.037905033625433E-4</c:v>
                </c:pt>
                <c:pt idx="12">
                  <c:v>0</c:v>
                </c:pt>
                <c:pt idx="13">
                  <c:v>0</c:v>
                </c:pt>
                <c:pt idx="14">
                  <c:v>6.7930167787514441E-5</c:v>
                </c:pt>
                <c:pt idx="15">
                  <c:v>0</c:v>
                </c:pt>
                <c:pt idx="16">
                  <c:v>2.1737653692004621E-3</c:v>
                </c:pt>
                <c:pt idx="17">
                  <c:v>0</c:v>
                </c:pt>
                <c:pt idx="18">
                  <c:v>0</c:v>
                </c:pt>
                <c:pt idx="19">
                  <c:v>6.7930167787514441E-5</c:v>
                </c:pt>
                <c:pt idx="20">
                  <c:v>0</c:v>
                </c:pt>
              </c:numCache>
            </c:numRef>
          </c:val>
          <c:extLst>
            <c:ext xmlns:c16="http://schemas.microsoft.com/office/drawing/2014/chart" uri="{C3380CC4-5D6E-409C-BE32-E72D297353CC}">
              <c16:uniqueId val="{00000004-0F22-4563-A6CF-07AA5060ADEC}"/>
            </c:ext>
          </c:extLst>
        </c:ser>
        <c:dLbls>
          <c:showLegendKey val="0"/>
          <c:showVal val="0"/>
          <c:showCatName val="0"/>
          <c:showSerName val="0"/>
          <c:showPercent val="0"/>
          <c:showBubbleSize val="0"/>
        </c:dLbls>
        <c:gapWidth val="219"/>
        <c:axId val="379060384"/>
        <c:axId val="379062112"/>
      </c:barChart>
      <c:catAx>
        <c:axId val="3790603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 For Records with Any Mention of Drug Poisoning, Field of First Mention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'4_1.6_First_Mention'!$Q$4</c:f>
              <c:strCache>
                <c:ptCount val="1"/>
                <c:pt idx="0">
                  <c:v>Colorado</c:v>
                </c:pt>
              </c:strCache>
            </c:strRef>
          </c:tx>
          <c:spPr>
            <a:solidFill>
              <a:schemeClr val="accent1"/>
            </a:solidFill>
            <a:ln>
              <a:noFill/>
            </a:ln>
            <a:effectLst/>
          </c:spPr>
          <c:invertIfNegative val="0"/>
          <c:cat>
            <c:numRef>
              <c:f>'4_1.6_First_Mention'!$P$5:$P$25</c:f>
              <c:numCache>
                <c:formatCode>@</c:formatCode>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numCache>
            </c:numRef>
          </c:cat>
          <c:val>
            <c:numRef>
              <c:f>'4_1.6_First_Mention'!$Q$5:$Q$25</c:f>
              <c:numCache>
                <c:formatCode>0.00%</c:formatCode>
                <c:ptCount val="21"/>
                <c:pt idx="0">
                  <c:v>0.80717587497248511</c:v>
                </c:pt>
                <c:pt idx="1">
                  <c:v>0.10224521241470394</c:v>
                </c:pt>
                <c:pt idx="2">
                  <c:v>4.2482940788025531E-2</c:v>
                </c:pt>
                <c:pt idx="3">
                  <c:v>2.190182698657275E-2</c:v>
                </c:pt>
                <c:pt idx="4">
                  <c:v>1.1666299801893022E-2</c:v>
                </c:pt>
                <c:pt idx="5">
                  <c:v>6.0532687651331718E-3</c:v>
                </c:pt>
                <c:pt idx="6">
                  <c:v>2.6414263702399295E-3</c:v>
                </c:pt>
                <c:pt idx="7">
                  <c:v>1.5408320493066256E-3</c:v>
                </c:pt>
                <c:pt idx="8">
                  <c:v>8.8047545674664314E-4</c:v>
                </c:pt>
                <c:pt idx="9">
                  <c:v>7.7041602465331282E-4</c:v>
                </c:pt>
                <c:pt idx="10">
                  <c:v>7.7041602465331282E-4</c:v>
                </c:pt>
                <c:pt idx="11">
                  <c:v>2.2011886418666079E-4</c:v>
                </c:pt>
                <c:pt idx="12">
                  <c:v>4.4023772837332157E-4</c:v>
                </c:pt>
                <c:pt idx="13">
                  <c:v>3.3017829627999119E-4</c:v>
                </c:pt>
                <c:pt idx="14">
                  <c:v>3.3017829627999119E-4</c:v>
                </c:pt>
                <c:pt idx="15">
                  <c:v>1.1005943209333039E-4</c:v>
                </c:pt>
                <c:pt idx="16">
                  <c:v>1.1005943209333039E-4</c:v>
                </c:pt>
                <c:pt idx="17">
                  <c:v>2.2011886418666079E-4</c:v>
                </c:pt>
                <c:pt idx="18">
                  <c:v>1.1005943209333039E-4</c:v>
                </c:pt>
                <c:pt idx="19">
                  <c:v>0</c:v>
                </c:pt>
                <c:pt idx="20">
                  <c:v>0</c:v>
                </c:pt>
              </c:numCache>
            </c:numRef>
          </c:val>
          <c:extLst>
            <c:ext xmlns:c16="http://schemas.microsoft.com/office/drawing/2014/chart" uri="{C3380CC4-5D6E-409C-BE32-E72D297353CC}">
              <c16:uniqueId val="{00000000-3A94-4B4E-B590-5E9D645EA4A2}"/>
            </c:ext>
          </c:extLst>
        </c:ser>
        <c:ser>
          <c:idx val="1"/>
          <c:order val="1"/>
          <c:tx>
            <c:strRef>
              <c:f>'4_1.6_First_Mention'!$R$4</c:f>
              <c:strCache>
                <c:ptCount val="1"/>
                <c:pt idx="0">
                  <c:v>Kentucky</c:v>
                </c:pt>
              </c:strCache>
            </c:strRef>
          </c:tx>
          <c:spPr>
            <a:solidFill>
              <a:schemeClr val="accent2"/>
            </a:solidFill>
            <a:ln>
              <a:noFill/>
            </a:ln>
            <a:effectLst/>
          </c:spPr>
          <c:invertIfNegative val="0"/>
          <c:cat>
            <c:numRef>
              <c:f>'4_1.6_First_Mention'!$P$5:$P$25</c:f>
              <c:numCache>
                <c:formatCode>@</c:formatCode>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numCache>
            </c:numRef>
          </c:cat>
          <c:val>
            <c:numRef>
              <c:f>'4_1.6_First_Mention'!$R$5:$R$25</c:f>
              <c:numCache>
                <c:formatCode>0.00%</c:formatCode>
                <c:ptCount val="21"/>
                <c:pt idx="0">
                  <c:v>0.87978307548312507</c:v>
                </c:pt>
                <c:pt idx="1">
                  <c:v>8.1787149699939443E-2</c:v>
                </c:pt>
                <c:pt idx="2">
                  <c:v>2.1857622639431813E-2</c:v>
                </c:pt>
                <c:pt idx="3">
                  <c:v>8.0933766448273957E-3</c:v>
                </c:pt>
                <c:pt idx="4">
                  <c:v>3.6337609425755655E-3</c:v>
                </c:pt>
                <c:pt idx="5">
                  <c:v>1.6517095193525299E-3</c:v>
                </c:pt>
                <c:pt idx="6">
                  <c:v>8.809117436546826E-4</c:v>
                </c:pt>
                <c:pt idx="7">
                  <c:v>5.7809833177338544E-4</c:v>
                </c:pt>
                <c:pt idx="8">
                  <c:v>3.8539888784892362E-4</c:v>
                </c:pt>
                <c:pt idx="9">
                  <c:v>2.4775642790287949E-4</c:v>
                </c:pt>
                <c:pt idx="10">
                  <c:v>3.0281341188129716E-4</c:v>
                </c:pt>
                <c:pt idx="11">
                  <c:v>1.6517095193525297E-4</c:v>
                </c:pt>
                <c:pt idx="12">
                  <c:v>1.1011396795683533E-4</c:v>
                </c:pt>
                <c:pt idx="13">
                  <c:v>1.3764245994604416E-4</c:v>
                </c:pt>
                <c:pt idx="14">
                  <c:v>1.3764245994604416E-4</c:v>
                </c:pt>
                <c:pt idx="15">
                  <c:v>2.7528491989208831E-5</c:v>
                </c:pt>
                <c:pt idx="16">
                  <c:v>5.5056983978417663E-5</c:v>
                </c:pt>
                <c:pt idx="17">
                  <c:v>8.2585475967626487E-5</c:v>
                </c:pt>
                <c:pt idx="18">
                  <c:v>5.5056983978417663E-5</c:v>
                </c:pt>
                <c:pt idx="19">
                  <c:v>2.7528491989208831E-5</c:v>
                </c:pt>
                <c:pt idx="20">
                  <c:v>0</c:v>
                </c:pt>
              </c:numCache>
            </c:numRef>
          </c:val>
          <c:extLst>
            <c:ext xmlns:c16="http://schemas.microsoft.com/office/drawing/2014/chart" uri="{C3380CC4-5D6E-409C-BE32-E72D297353CC}">
              <c16:uniqueId val="{00000001-3A94-4B4E-B590-5E9D645EA4A2}"/>
            </c:ext>
          </c:extLst>
        </c:ser>
        <c:ser>
          <c:idx val="2"/>
          <c:order val="2"/>
          <c:tx>
            <c:strRef>
              <c:f>'4_1.6_First_Mention'!$T$4</c:f>
              <c:strCache>
                <c:ptCount val="1"/>
                <c:pt idx="0">
                  <c:v>New Mexico</c:v>
                </c:pt>
              </c:strCache>
            </c:strRef>
          </c:tx>
          <c:spPr>
            <a:solidFill>
              <a:schemeClr val="accent3"/>
            </a:solidFill>
            <a:ln>
              <a:noFill/>
            </a:ln>
            <a:effectLst/>
          </c:spPr>
          <c:invertIfNegative val="0"/>
          <c:cat>
            <c:numRef>
              <c:f>'4_1.6_First_Mention'!$P$5:$P$25</c:f>
              <c:numCache>
                <c:formatCode>@</c:formatCode>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numCache>
            </c:numRef>
          </c:cat>
          <c:val>
            <c:numRef>
              <c:f>'4_1.6_First_Mention'!$T$5:$T$25</c:f>
              <c:numCache>
                <c:formatCode>0.00%</c:formatCode>
                <c:ptCount val="21"/>
                <c:pt idx="0">
                  <c:v>0.79722814498933903</c:v>
                </c:pt>
                <c:pt idx="1">
                  <c:v>0.10639658848614073</c:v>
                </c:pt>
                <c:pt idx="2">
                  <c:v>4.2643923240938165E-2</c:v>
                </c:pt>
                <c:pt idx="3">
                  <c:v>2.0469083155650322E-2</c:v>
                </c:pt>
                <c:pt idx="4">
                  <c:v>1.1087420042643924E-2</c:v>
                </c:pt>
                <c:pt idx="5">
                  <c:v>6.3965884861407248E-3</c:v>
                </c:pt>
                <c:pt idx="6">
                  <c:v>2.7718550106609809E-3</c:v>
                </c:pt>
                <c:pt idx="7">
                  <c:v>2.1321961620469083E-3</c:v>
                </c:pt>
                <c:pt idx="8">
                  <c:v>2.7718550106609809E-3</c:v>
                </c:pt>
                <c:pt idx="9">
                  <c:v>1.0660980810234541E-3</c:v>
                </c:pt>
                <c:pt idx="10">
                  <c:v>1.2793176972281451E-3</c:v>
                </c:pt>
                <c:pt idx="11">
                  <c:v>1.2793176972281451E-3</c:v>
                </c:pt>
                <c:pt idx="12">
                  <c:v>6.3965884861407255E-4</c:v>
                </c:pt>
                <c:pt idx="13">
                  <c:v>6.3965884861407255E-4</c:v>
                </c:pt>
                <c:pt idx="14">
                  <c:v>1.2793176972281451E-3</c:v>
                </c:pt>
                <c:pt idx="15">
                  <c:v>6.3965884861407255E-4</c:v>
                </c:pt>
                <c:pt idx="16">
                  <c:v>4.2643923240938164E-4</c:v>
                </c:pt>
                <c:pt idx="17">
                  <c:v>2.1321961620469082E-4</c:v>
                </c:pt>
                <c:pt idx="18">
                  <c:v>2.1321961620469082E-4</c:v>
                </c:pt>
                <c:pt idx="19">
                  <c:v>2.1321961620469082E-4</c:v>
                </c:pt>
                <c:pt idx="20">
                  <c:v>2.1321961620469082E-4</c:v>
                </c:pt>
              </c:numCache>
            </c:numRef>
          </c:val>
          <c:extLst>
            <c:ext xmlns:c16="http://schemas.microsoft.com/office/drawing/2014/chart" uri="{C3380CC4-5D6E-409C-BE32-E72D297353CC}">
              <c16:uniqueId val="{00000002-3A94-4B4E-B590-5E9D645EA4A2}"/>
            </c:ext>
          </c:extLst>
        </c:ser>
        <c:dLbls>
          <c:showLegendKey val="0"/>
          <c:showVal val="0"/>
          <c:showCatName val="0"/>
          <c:showSerName val="0"/>
          <c:showPercent val="0"/>
          <c:showBubbleSize val="0"/>
        </c:dLbls>
        <c:gapWidth val="219"/>
        <c:overlap val="-27"/>
        <c:axId val="448108224"/>
        <c:axId val="357797008"/>
      </c:barChart>
      <c:catAx>
        <c:axId val="448108224"/>
        <c:scaling>
          <c:orientation val="minMax"/>
        </c:scaling>
        <c:delete val="0"/>
        <c:axPos val="b"/>
        <c:numFmt formatCode="@"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7797008"/>
        <c:crosses val="autoZero"/>
        <c:auto val="1"/>
        <c:lblAlgn val="ctr"/>
        <c:lblOffset val="100"/>
        <c:noMultiLvlLbl val="0"/>
      </c:catAx>
      <c:valAx>
        <c:axId val="3577970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108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'4_1.6_First_Mention'!$P$5</c:f>
              <c:strCache>
                <c:ptCount val="1"/>
                <c:pt idx="0">
                  <c:v>1</c:v>
                </c:pt>
              </c:strCache>
            </c:strRef>
          </c:tx>
          <c:spPr>
            <a:solidFill>
              <a:schemeClr val="accent1"/>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'4_1.6_First_Mention'!$Q$5:$T$5</c:f>
              <c:numCache>
                <c:formatCode>0.00%</c:formatCode>
                <c:ptCount val="4"/>
                <c:pt idx="0">
                  <c:v>0.80717587497248511</c:v>
                </c:pt>
                <c:pt idx="1">
                  <c:v>0.87978307548312507</c:v>
                </c:pt>
                <c:pt idx="2">
                  <c:v>0.69779750725627454</c:v>
                </c:pt>
                <c:pt idx="3">
                  <c:v>0.79722814498933903</c:v>
                </c:pt>
              </c:numCache>
            </c:numRef>
          </c:val>
          <c:extLst>
            <c:ext xmlns:c16="http://schemas.microsoft.com/office/drawing/2014/chart" uri="{C3380CC4-5D6E-409C-BE32-E72D297353CC}">
              <c16:uniqueId val="{00000000-99CF-4A5F-A5D8-896330D0E225}"/>
            </c:ext>
          </c:extLst>
        </c:ser>
        <c:ser>
          <c:idx val="1"/>
          <c:order val="1"/>
          <c:tx>
            <c:strRef>
              <c:f>'4_1.6_First_Mention'!$P$6</c:f>
              <c:strCache>
                <c:ptCount val="1"/>
                <c:pt idx="0">
                  <c:v>2</c:v>
                </c:pt>
              </c:strCache>
            </c:strRef>
          </c:tx>
          <c:spPr>
            <a:solidFill>
              <a:schemeClr val="accent2"/>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'4_1.6_First_Mention'!$Q$6:$T$6</c:f>
              <c:numCache>
                <c:formatCode>0.00%</c:formatCode>
                <c:ptCount val="4"/>
                <c:pt idx="0">
                  <c:v>0.10224521241470394</c:v>
                </c:pt>
                <c:pt idx="1">
                  <c:v>8.1787149699939443E-2</c:v>
                </c:pt>
                <c:pt idx="2">
                  <c:v>0.10030732456889192</c:v>
                </c:pt>
                <c:pt idx="3">
                  <c:v>0.10639658848614073</c:v>
                </c:pt>
              </c:numCache>
            </c:numRef>
          </c:val>
          <c:extLst>
            <c:ext xmlns:c16="http://schemas.microsoft.com/office/drawing/2014/chart" uri="{C3380CC4-5D6E-409C-BE32-E72D297353CC}">
              <c16:uniqueId val="{00000001-99CF-4A5F-A5D8-896330D0E225}"/>
            </c:ext>
          </c:extLst>
        </c:ser>
        <c:ser>
          <c:idx val="2"/>
          <c:order val="2"/>
          <c:tx>
            <c:strRef>
              <c:f>'4_1.6_First_Mention'!$P$7</c:f>
              <c:strCache>
                <c:ptCount val="1"/>
                <c:pt idx="0">
                  <c:v>3</c:v>
                </c:pt>
              </c:strCache>
            </c:strRef>
          </c:tx>
          <c:spPr>
            <a:solidFill>
              <a:schemeClr val="accent3"/>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'4_1.6_First_Mention'!$Q$7:$T$7</c:f>
              <c:numCache>
                <c:formatCode>0.00%</c:formatCode>
                <c:ptCount val="4"/>
                <c:pt idx="0">
                  <c:v>4.2482940788025531E-2</c:v>
                </c:pt>
                <c:pt idx="1">
                  <c:v>2.1857622639431813E-2</c:v>
                </c:pt>
                <c:pt idx="2">
                  <c:v>5.651357350179273E-2</c:v>
                </c:pt>
                <c:pt idx="3">
                  <c:v>4.2643923240938165E-2</c:v>
                </c:pt>
              </c:numCache>
            </c:numRef>
          </c:val>
          <c:extLst>
            <c:ext xmlns:c16="http://schemas.microsoft.com/office/drawing/2014/chart" uri="{C3380CC4-5D6E-409C-BE32-E72D297353CC}">
              <c16:uniqueId val="{00000002-99CF-4A5F-A5D8-896330D0E225}"/>
            </c:ext>
          </c:extLst>
        </c:ser>
        <c:ser>
          <c:idx val="3"/>
          <c:order val="3"/>
          <c:tx>
            <c:strRef>
              <c:f>'4_1.6_First_Mention'!$P$8</c:f>
              <c:strCache>
                <c:ptCount val="1"/>
                <c:pt idx="0">
                  <c:v>4</c:v>
                </c:pt>
              </c:strCache>
            </c:strRef>
          </c:tx>
          <c:spPr>
            <a:solidFill>
              <a:schemeClr val="accent4"/>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'4_1.6_First_Mention'!$Q$8:$T$8</c:f>
              <c:numCache>
                <c:formatCode>0.00%</c:formatCode>
                <c:ptCount val="4"/>
                <c:pt idx="0">
                  <c:v>2.190182698657275E-2</c:v>
                </c:pt>
                <c:pt idx="1">
                  <c:v>8.0933766448273957E-3</c:v>
                </c:pt>
                <c:pt idx="2">
                  <c:v>3.6793580331227593E-2</c:v>
                </c:pt>
                <c:pt idx="3">
                  <c:v>2.0469083155650322E-2</c:v>
                </c:pt>
              </c:numCache>
            </c:numRef>
          </c:val>
          <c:extLst>
            <c:ext xmlns:c16="http://schemas.microsoft.com/office/drawing/2014/chart" uri="{C3380CC4-5D6E-409C-BE32-E72D297353CC}">
              <c16:uniqueId val="{00000003-99CF-4A5F-A5D8-896330D0E225}"/>
            </c:ext>
          </c:extLst>
        </c:ser>
        <c:ser>
          <c:idx val="4"/>
          <c:order val="4"/>
          <c:tx>
            <c:strRef>
              <c:f>'4_1.6_First_Mention'!$P$9</c:f>
              <c:strCache>
                <c:ptCount val="1"/>
                <c:pt idx="0">
                  <c:v>5</c:v>
                </c:pt>
              </c:strCache>
            </c:strRef>
          </c:tx>
          <c:spPr>
            <a:solidFill>
              <a:schemeClr val="accent5"/>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'4_1.6_First_Mention'!$Q$9:$T$9</c:f>
              <c:numCache>
                <c:formatCode>0.00%</c:formatCode>
                <c:ptCount val="4"/>
                <c:pt idx="0">
                  <c:v>1.1666299801893022E-2</c:v>
                </c:pt>
                <c:pt idx="1">
                  <c:v>3.6337609425755655E-3</c:v>
                </c:pt>
                <c:pt idx="2">
                  <c:v>2.5183541061977122E-2</c:v>
                </c:pt>
                <c:pt idx="3">
                  <c:v>1.1087420042643924E-2</c:v>
                </c:pt>
              </c:numCache>
            </c:numRef>
          </c:val>
          <c:extLst>
            <c:ext xmlns:c16="http://schemas.microsoft.com/office/drawing/2014/chart" uri="{C3380CC4-5D6E-409C-BE32-E72D297353CC}">
              <c16:uniqueId val="{00000004-99CF-4A5F-A5D8-896330D0E225}"/>
            </c:ext>
          </c:extLst>
        </c:ser>
        <c:ser>
          <c:idx val="5"/>
          <c:order val="5"/>
          <c:tx>
            <c:strRef>
              <c:f>'4_1.6_First_Mention'!$P$10</c:f>
              <c:strCache>
                <c:ptCount val="1"/>
                <c:pt idx="0">
                  <c:v>6</c:v>
                </c:pt>
              </c:strCache>
            </c:strRef>
          </c:tx>
          <c:spPr>
            <a:solidFill>
              <a:schemeClr val="accent6"/>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'4_1.6_First_Mention'!$Q$10:$T$10</c:f>
              <c:numCache>
                <c:formatCode>0.00%</c:formatCode>
                <c:ptCount val="4"/>
                <c:pt idx="0">
                  <c:v>6.0532687651331718E-3</c:v>
                </c:pt>
                <c:pt idx="1">
                  <c:v>1.6517095193525299E-3</c:v>
                </c:pt>
                <c:pt idx="2">
                  <c:v>1.6732115417449206E-2</c:v>
                </c:pt>
                <c:pt idx="3">
                  <c:v>6.3965884861407248E-3</c:v>
                </c:pt>
              </c:numCache>
            </c:numRef>
          </c:val>
          <c:extLst>
            <c:ext xmlns:c16="http://schemas.microsoft.com/office/drawing/2014/chart" uri="{C3380CC4-5D6E-409C-BE32-E72D297353CC}">
              <c16:uniqueId val="{00000005-99CF-4A5F-A5D8-896330D0E225}"/>
            </c:ext>
          </c:extLst>
        </c:ser>
        <c:ser>
          <c:idx val="6"/>
          <c:order val="6"/>
          <c:tx>
            <c:strRef>
              <c:f>'4_1.6_First_Mention'!$P$11</c:f>
              <c:strCache>
                <c:ptCount val="1"/>
                <c:pt idx="0">
                  <c:v>7</c:v>
                </c:pt>
              </c:strCache>
            </c:strRef>
          </c:tx>
          <c:spPr>
            <a:solidFill>
              <a:schemeClr val="accent1">
                <a:lumMod val="6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'4_1.6_First_Mention'!$Q$11:$T$11</c:f>
              <c:numCache>
                <c:formatCode>0.00%</c:formatCode>
                <c:ptCount val="4"/>
                <c:pt idx="0">
                  <c:v>2.6414263702399295E-3</c:v>
                </c:pt>
                <c:pt idx="1">
                  <c:v>8.809117436546826E-4</c:v>
                </c:pt>
                <c:pt idx="2">
                  <c:v>1.3914973535939901E-2</c:v>
                </c:pt>
                <c:pt idx="3">
                  <c:v>2.7718550106609809E-3</c:v>
                </c:pt>
              </c:numCache>
            </c:numRef>
          </c:val>
          <c:extLst>
            <c:ext xmlns:c16="http://schemas.microsoft.com/office/drawing/2014/chart" uri="{C3380CC4-5D6E-409C-BE32-E72D297353CC}">
              <c16:uniqueId val="{00000006-99CF-4A5F-A5D8-896330D0E225}"/>
            </c:ext>
          </c:extLst>
        </c:ser>
        <c:ser>
          <c:idx val="7"/>
          <c:order val="7"/>
          <c:tx>
            <c:strRef>
              <c:f>'4_1.6_First_Mention'!$P$12</c:f>
              <c:strCache>
                <c:ptCount val="1"/>
                <c:pt idx="0">
                  <c:v>8</c:v>
                </c:pt>
              </c:strCache>
            </c:strRef>
          </c:tx>
          <c:spPr>
            <a:solidFill>
              <a:schemeClr val="accent2">
                <a:lumMod val="6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'4_1.6_First_Mention'!$Q$12:$T$12</c:f>
              <c:numCache>
                <c:formatCode>0.00%</c:formatCode>
                <c:ptCount val="4"/>
                <c:pt idx="0">
                  <c:v>1.5408320493066256E-3</c:v>
                </c:pt>
                <c:pt idx="1">
                  <c:v>5.7809833177338544E-4</c:v>
                </c:pt>
                <c:pt idx="2">
                  <c:v>1.0927095782823972E-2</c:v>
                </c:pt>
                <c:pt idx="3">
                  <c:v>2.1321961620469083E-3</c:v>
                </c:pt>
              </c:numCache>
            </c:numRef>
          </c:val>
          <c:extLst>
            <c:ext xmlns:c16="http://schemas.microsoft.com/office/drawing/2014/chart" uri="{C3380CC4-5D6E-409C-BE32-E72D297353CC}">
              <c16:uniqueId val="{00000007-99CF-4A5F-A5D8-896330D0E225}"/>
            </c:ext>
          </c:extLst>
        </c:ser>
        <c:ser>
          <c:idx val="8"/>
          <c:order val="8"/>
          <c:tx>
            <c:strRef>
              <c:f>'4_1.6_First_Mention'!$P$13</c:f>
              <c:strCache>
                <c:ptCount val="1"/>
                <c:pt idx="0">
                  <c:v>9</c:v>
                </c:pt>
              </c:strCache>
            </c:strRef>
          </c:tx>
          <c:spPr>
            <a:solidFill>
              <a:schemeClr val="accent3">
                <a:lumMod val="6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'4_1.6_First_Mention'!$Q$13:$T$13</c:f>
              <c:numCache>
                <c:formatCode>0.00%</c:formatCode>
                <c:ptCount val="4"/>
                <c:pt idx="0">
                  <c:v>8.8047545674664314E-4</c:v>
                </c:pt>
                <c:pt idx="1">
                  <c:v>3.8539888784892362E-4</c:v>
                </c:pt>
                <c:pt idx="2">
                  <c:v>7.8538500939047302E-3</c:v>
                </c:pt>
                <c:pt idx="3">
                  <c:v>2.7718550106609809E-3</c:v>
                </c:pt>
              </c:numCache>
            </c:numRef>
          </c:val>
          <c:extLst>
            <c:ext xmlns:c16="http://schemas.microsoft.com/office/drawing/2014/chart" uri="{C3380CC4-5D6E-409C-BE32-E72D297353CC}">
              <c16:uniqueId val="{00000008-99CF-4A5F-A5D8-896330D0E225}"/>
            </c:ext>
          </c:extLst>
        </c:ser>
        <c:ser>
          <c:idx val="9"/>
          <c:order val="9"/>
          <c:tx>
            <c:strRef>
              <c:f>'4_1.6_First_Mention'!$P$14</c:f>
              <c:strCache>
                <c:ptCount val="1"/>
                <c:pt idx="0">
                  <c:v>10</c:v>
                </c:pt>
              </c:strCache>
            </c:strRef>
          </c:tx>
          <c:spPr>
            <a:solidFill>
              <a:schemeClr val="accent4">
                <a:lumMod val="6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'4_1.6_First_Mention'!$Q$14:$T$14</c:f>
              <c:numCache>
                <c:formatCode>0.00%</c:formatCode>
                <c:ptCount val="4"/>
                <c:pt idx="0">
                  <c:v>7.7041602465331282E-4</c:v>
                </c:pt>
                <c:pt idx="1">
                  <c:v>2.4775642790287949E-4</c:v>
                </c:pt>
                <c:pt idx="2">
                  <c:v>6.0611234420351713E-3</c:v>
                </c:pt>
                <c:pt idx="3">
                  <c:v>1.0660980810234541E-3</c:v>
                </c:pt>
              </c:numCache>
            </c:numRef>
          </c:val>
          <c:extLst>
            <c:ext xmlns:c16="http://schemas.microsoft.com/office/drawing/2014/chart" uri="{C3380CC4-5D6E-409C-BE32-E72D297353CC}">
              <c16:uniqueId val="{00000009-99CF-4A5F-A5D8-896330D0E225}"/>
            </c:ext>
          </c:extLst>
        </c:ser>
        <c:ser>
          <c:idx val="10"/>
          <c:order val="10"/>
          <c:tx>
            <c:strRef>
              <c:f>'4_1.6_First_Mention'!$P$15</c:f>
              <c:strCache>
                <c:ptCount val="1"/>
                <c:pt idx="0">
                  <c:v>11</c:v>
                </c:pt>
              </c:strCache>
            </c:strRef>
          </c:tx>
          <c:spPr>
            <a:solidFill>
              <a:schemeClr val="accent5">
                <a:lumMod val="6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'4_1.6_First_Mention'!$Q$15:$T$15</c:f>
              <c:numCache>
                <c:formatCode>0.00%</c:formatCode>
                <c:ptCount val="4"/>
                <c:pt idx="0">
                  <c:v>7.7041602465331282E-4</c:v>
                </c:pt>
                <c:pt idx="1">
                  <c:v>3.0281341188129716E-4</c:v>
                </c:pt>
                <c:pt idx="2">
                  <c:v>5.0367082123954241E-3</c:v>
                </c:pt>
                <c:pt idx="3">
                  <c:v>1.2793176972281451E-3</c:v>
                </c:pt>
              </c:numCache>
            </c:numRef>
          </c:val>
          <c:extLst>
            <c:ext xmlns:c16="http://schemas.microsoft.com/office/drawing/2014/chart" uri="{C3380CC4-5D6E-409C-BE32-E72D297353CC}">
              <c16:uniqueId val="{0000000A-99CF-4A5F-A5D8-896330D0E225}"/>
            </c:ext>
          </c:extLst>
        </c:ser>
        <c:ser>
          <c:idx val="11"/>
          <c:order val="11"/>
          <c:tx>
            <c:strRef>
              <c:f>'4_1.6_First_Mention'!$P$16</c:f>
              <c:strCache>
                <c:ptCount val="1"/>
                <c:pt idx="0">
                  <c:v>12</c:v>
                </c:pt>
              </c:strCache>
            </c:strRef>
          </c:tx>
          <c:spPr>
            <a:solidFill>
              <a:schemeClr val="accent6">
                <a:lumMod val="6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'4_1.6_First_Mention'!$Q$16:$T$16</c:f>
              <c:numCache>
                <c:formatCode>0.00%</c:formatCode>
                <c:ptCount val="4"/>
                <c:pt idx="0">
                  <c:v>2.2011886418666079E-4</c:v>
                </c:pt>
                <c:pt idx="1">
                  <c:v>1.6517095193525297E-4</c:v>
                </c:pt>
                <c:pt idx="2">
                  <c:v>3.9269250469523651E-3</c:v>
                </c:pt>
                <c:pt idx="3">
                  <c:v>1.2793176972281451E-3</c:v>
                </c:pt>
              </c:numCache>
            </c:numRef>
          </c:val>
          <c:extLst>
            <c:ext xmlns:c16="http://schemas.microsoft.com/office/drawing/2014/chart" uri="{C3380CC4-5D6E-409C-BE32-E72D297353CC}">
              <c16:uniqueId val="{0000000B-99CF-4A5F-A5D8-896330D0E225}"/>
            </c:ext>
          </c:extLst>
        </c:ser>
        <c:ser>
          <c:idx val="12"/>
          <c:order val="12"/>
          <c:tx>
            <c:strRef>
              <c:f>'4_1.6_First_Mention'!$P$17</c:f>
              <c:strCache>
                <c:ptCount val="1"/>
                <c:pt idx="0">
                  <c:v>13</c:v>
                </c:pt>
              </c:strCache>
            </c:strRef>
          </c:tx>
          <c:spPr>
            <a:solidFill>
              <a:schemeClr val="accent1">
                <a:lumMod val="80000"/>
                <a:lumOff val="2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'4_1.6_First_Mention'!$Q$17:$T$17</c:f>
              <c:numCache>
                <c:formatCode>0.00%</c:formatCode>
                <c:ptCount val="4"/>
                <c:pt idx="0">
                  <c:v>4.4023772837332157E-4</c:v>
                </c:pt>
                <c:pt idx="1">
                  <c:v>1.1011396795683533E-4</c:v>
                </c:pt>
                <c:pt idx="2">
                  <c:v>4.012292982755677E-3</c:v>
                </c:pt>
                <c:pt idx="3">
                  <c:v>6.3965884861407255E-4</c:v>
                </c:pt>
              </c:numCache>
            </c:numRef>
          </c:val>
          <c:extLst>
            <c:ext xmlns:c16="http://schemas.microsoft.com/office/drawing/2014/chart" uri="{C3380CC4-5D6E-409C-BE32-E72D297353CC}">
              <c16:uniqueId val="{0000000C-99CF-4A5F-A5D8-896330D0E225}"/>
            </c:ext>
          </c:extLst>
        </c:ser>
        <c:ser>
          <c:idx val="13"/>
          <c:order val="13"/>
          <c:tx>
            <c:strRef>
              <c:f>'4_1.6_First_Mention'!$P$18</c:f>
              <c:strCache>
                <c:ptCount val="1"/>
                <c:pt idx="0">
                  <c:v>14</c:v>
                </c:pt>
              </c:strCache>
            </c:strRef>
          </c:tx>
          <c:spPr>
            <a:solidFill>
              <a:schemeClr val="accent2">
                <a:lumMod val="80000"/>
                <a:lumOff val="2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'4_1.6_First_Mention'!$Q$18:$T$18</c:f>
              <c:numCache>
                <c:formatCode>0.00%</c:formatCode>
                <c:ptCount val="4"/>
                <c:pt idx="0">
                  <c:v>3.3017829627999119E-4</c:v>
                </c:pt>
                <c:pt idx="1">
                  <c:v>1.3764245994604416E-4</c:v>
                </c:pt>
                <c:pt idx="2">
                  <c:v>2.5610380740993684E-3</c:v>
                </c:pt>
                <c:pt idx="3">
                  <c:v>6.3965884861407255E-4</c:v>
                </c:pt>
              </c:numCache>
            </c:numRef>
          </c:val>
          <c:extLst>
            <c:ext xmlns:c16="http://schemas.microsoft.com/office/drawing/2014/chart" uri="{C3380CC4-5D6E-409C-BE32-E72D297353CC}">
              <c16:uniqueId val="{0000000D-99CF-4A5F-A5D8-896330D0E225}"/>
            </c:ext>
          </c:extLst>
        </c:ser>
        <c:ser>
          <c:idx val="14"/>
          <c:order val="14"/>
          <c:tx>
            <c:strRef>
              <c:f>'4_1.6_First_Mention'!$P$19</c:f>
              <c:strCache>
                <c:ptCount val="1"/>
                <c:pt idx="0">
                  <c:v>15</c:v>
                </c:pt>
              </c:strCache>
            </c:strRef>
          </c:tx>
          <c:spPr>
            <a:solidFill>
              <a:schemeClr val="accent3">
                <a:lumMod val="80000"/>
                <a:lumOff val="2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'4_1.6_First_Mention'!$Q$19:$T$19</c:f>
              <c:numCache>
                <c:formatCode>0.00%</c:formatCode>
                <c:ptCount val="4"/>
                <c:pt idx="0">
                  <c:v>3.3017829627999119E-4</c:v>
                </c:pt>
                <c:pt idx="1">
                  <c:v>1.3764245994604416E-4</c:v>
                </c:pt>
                <c:pt idx="2">
                  <c:v>2.1341983950828071E-3</c:v>
                </c:pt>
                <c:pt idx="3">
                  <c:v>1.2793176972281451E-3</c:v>
                </c:pt>
              </c:numCache>
            </c:numRef>
          </c:val>
          <c:extLst>
            <c:ext xmlns:c16="http://schemas.microsoft.com/office/drawing/2014/chart" uri="{C3380CC4-5D6E-409C-BE32-E72D297353CC}">
              <c16:uniqueId val="{0000000E-99CF-4A5F-A5D8-896330D0E225}"/>
            </c:ext>
          </c:extLst>
        </c:ser>
        <c:ser>
          <c:idx val="15"/>
          <c:order val="15"/>
          <c:tx>
            <c:strRef>
              <c:f>'4_1.6_First_Mention'!$P$20</c:f>
              <c:strCache>
                <c:ptCount val="1"/>
                <c:pt idx="0">
                  <c:v>16</c:v>
                </c:pt>
              </c:strCache>
            </c:strRef>
          </c:tx>
          <c:spPr>
            <a:solidFill>
              <a:schemeClr val="accent4">
                <a:lumMod val="80000"/>
                <a:lumOff val="2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'4_1.6_First_Mention'!$Q$20:$T$20</c:f>
              <c:numCache>
                <c:formatCode>0.00%</c:formatCode>
                <c:ptCount val="4"/>
                <c:pt idx="0">
                  <c:v>1.1005943209333039E-4</c:v>
                </c:pt>
                <c:pt idx="1">
                  <c:v>2.7528491989208831E-5</c:v>
                </c:pt>
                <c:pt idx="2">
                  <c:v>1.8780945876728701E-3</c:v>
                </c:pt>
                <c:pt idx="3">
                  <c:v>6.3965884861407255E-4</c:v>
                </c:pt>
              </c:numCache>
            </c:numRef>
          </c:val>
          <c:extLst>
            <c:ext xmlns:c16="http://schemas.microsoft.com/office/drawing/2014/chart" uri="{C3380CC4-5D6E-409C-BE32-E72D297353CC}">
              <c16:uniqueId val="{0000000F-99CF-4A5F-A5D8-896330D0E225}"/>
            </c:ext>
          </c:extLst>
        </c:ser>
        <c:ser>
          <c:idx val="16"/>
          <c:order val="16"/>
          <c:tx>
            <c:strRef>
              <c:f>'4_1.6_First_Mention'!$P$21</c:f>
              <c:strCache>
                <c:ptCount val="1"/>
                <c:pt idx="0">
                  <c:v>17</c:v>
                </c:pt>
              </c:strCache>
            </c:strRef>
          </c:tx>
          <c:spPr>
            <a:solidFill>
              <a:schemeClr val="accent5">
                <a:lumMod val="80000"/>
                <a:lumOff val="2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'4_1.6_First_Mention'!$Q$21:$T$21</c:f>
              <c:numCache>
                <c:formatCode>0.00%</c:formatCode>
                <c:ptCount val="4"/>
                <c:pt idx="0">
                  <c:v>1.1005943209333039E-4</c:v>
                </c:pt>
                <c:pt idx="1">
                  <c:v>5.5056983978417663E-5</c:v>
                </c:pt>
                <c:pt idx="2">
                  <c:v>1.4512549086563087E-3</c:v>
                </c:pt>
                <c:pt idx="3">
                  <c:v>4.2643923240938164E-4</c:v>
                </c:pt>
              </c:numCache>
            </c:numRef>
          </c:val>
          <c:extLst>
            <c:ext xmlns:c16="http://schemas.microsoft.com/office/drawing/2014/chart" uri="{C3380CC4-5D6E-409C-BE32-E72D297353CC}">
              <c16:uniqueId val="{00000010-99CF-4A5F-A5D8-896330D0E225}"/>
            </c:ext>
          </c:extLst>
        </c:ser>
        <c:ser>
          <c:idx val="17"/>
          <c:order val="17"/>
          <c:tx>
            <c:strRef>
              <c:f>'4_1.6_First_Mention'!$P$22</c:f>
              <c:strCache>
                <c:ptCount val="1"/>
                <c:pt idx="0">
                  <c:v>18</c:v>
                </c:pt>
              </c:strCache>
            </c:strRef>
          </c:tx>
          <c:spPr>
            <a:solidFill>
              <a:schemeClr val="accent6">
                <a:lumMod val="80000"/>
                <a:lumOff val="2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'4_1.6_First_Mention'!$Q$22:$T$22</c:f>
              <c:numCache>
                <c:formatCode>0.00%</c:formatCode>
                <c:ptCount val="4"/>
                <c:pt idx="0">
                  <c:v>2.2011886418666079E-4</c:v>
                </c:pt>
                <c:pt idx="1">
                  <c:v>8.2585475967626487E-5</c:v>
                </c:pt>
                <c:pt idx="2">
                  <c:v>1.1097831654430597E-3</c:v>
                </c:pt>
                <c:pt idx="3">
                  <c:v>2.1321961620469082E-4</c:v>
                </c:pt>
              </c:numCache>
            </c:numRef>
          </c:val>
          <c:extLst>
            <c:ext xmlns:c16="http://schemas.microsoft.com/office/drawing/2014/chart" uri="{C3380CC4-5D6E-409C-BE32-E72D297353CC}">
              <c16:uniqueId val="{00000011-99CF-4A5F-A5D8-896330D0E225}"/>
            </c:ext>
          </c:extLst>
        </c:ser>
        <c:ser>
          <c:idx val="18"/>
          <c:order val="18"/>
          <c:tx>
            <c:strRef>
              <c:f>'4_1.6_First_Mention'!$P$23</c:f>
              <c:strCache>
                <c:ptCount val="1"/>
                <c:pt idx="0">
                  <c:v>19</c:v>
                </c:pt>
              </c:strCache>
            </c:strRef>
          </c:tx>
          <c:spPr>
            <a:solidFill>
              <a:schemeClr val="accent1">
                <a:lumMod val="8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'4_1.6_First_Mention'!$Q$23:$T$23</c:f>
              <c:numCache>
                <c:formatCode>0.00%</c:formatCode>
                <c:ptCount val="4"/>
                <c:pt idx="0">
                  <c:v>1.1005943209333039E-4</c:v>
                </c:pt>
                <c:pt idx="1">
                  <c:v>5.5056983978417663E-5</c:v>
                </c:pt>
                <c:pt idx="2">
                  <c:v>1.1951511012463719E-3</c:v>
                </c:pt>
                <c:pt idx="3">
                  <c:v>2.1321961620469082E-4</c:v>
                </c:pt>
              </c:numCache>
            </c:numRef>
          </c:val>
          <c:extLst>
            <c:ext xmlns:c16="http://schemas.microsoft.com/office/drawing/2014/chart" uri="{C3380CC4-5D6E-409C-BE32-E72D297353CC}">
              <c16:uniqueId val="{00000012-99CF-4A5F-A5D8-896330D0E225}"/>
            </c:ext>
          </c:extLst>
        </c:ser>
        <c:ser>
          <c:idx val="19"/>
          <c:order val="19"/>
          <c:tx>
            <c:strRef>
              <c:f>'4_1.6_First_Mention'!$P$24</c:f>
              <c:strCache>
                <c:ptCount val="1"/>
                <c:pt idx="0">
                  <c:v>20</c:v>
                </c:pt>
              </c:strCache>
            </c:strRef>
          </c:tx>
          <c:spPr>
            <a:solidFill>
              <a:schemeClr val="accent2">
                <a:lumMod val="8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'4_1.6_First_Mention'!$Q$24:$T$24</c:f>
              <c:numCache>
                <c:formatCode>0.00%</c:formatCode>
                <c:ptCount val="4"/>
                <c:pt idx="0">
                  <c:v>0</c:v>
                </c:pt>
                <c:pt idx="1">
                  <c:v>2.7528491989208831E-5</c:v>
                </c:pt>
                <c:pt idx="2">
                  <c:v>1.7073587160662455E-3</c:v>
                </c:pt>
                <c:pt idx="3">
                  <c:v>2.1321961620469082E-4</c:v>
                </c:pt>
              </c:numCache>
            </c:numRef>
          </c:val>
          <c:extLst>
            <c:ext xmlns:c16="http://schemas.microsoft.com/office/drawing/2014/chart" uri="{C3380CC4-5D6E-409C-BE32-E72D297353CC}">
              <c16:uniqueId val="{00000013-99CF-4A5F-A5D8-896330D0E225}"/>
            </c:ext>
          </c:extLst>
        </c:ser>
        <c:ser>
          <c:idx val="20"/>
          <c:order val="20"/>
          <c:tx>
            <c:strRef>
              <c:f>'4_1.6_First_Mention'!$P$25</c:f>
              <c:strCache>
                <c:ptCount val="1"/>
                <c:pt idx="0">
                  <c:v>21</c:v>
                </c:pt>
              </c:strCache>
            </c:strRef>
          </c:tx>
          <c:spPr>
            <a:solidFill>
              <a:schemeClr val="accent3">
                <a:lumMod val="8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'4_1.6_First_Mention'!$Q$25:$T$25</c:f>
              <c:numCache>
                <c:formatCode>0.00%</c:formatCode>
                <c:ptCount val="4"/>
                <c:pt idx="0">
                  <c:v>0</c:v>
                </c:pt>
                <c:pt idx="1">
                  <c:v>0</c:v>
                </c:pt>
                <c:pt idx="2">
                  <c:v>1.4512549086563087E-3</c:v>
                </c:pt>
                <c:pt idx="3">
                  <c:v>2.1321961620469082E-4</c:v>
                </c:pt>
              </c:numCache>
            </c:numRef>
          </c:val>
          <c:extLst>
            <c:ext xmlns:c16="http://schemas.microsoft.com/office/drawing/2014/chart" uri="{C3380CC4-5D6E-409C-BE32-E72D297353CC}">
              <c16:uniqueId val="{00000014-99CF-4A5F-A5D8-896330D0E225}"/>
            </c:ext>
          </c:extLst>
        </c:ser>
        <c:ser>
          <c:idx val="21"/>
          <c:order val="21"/>
          <c:tx>
            <c:strRef>
              <c:f>'4_1.6_First_Mention'!$P$26</c:f>
              <c:strCache>
                <c:ptCount val="1"/>
                <c:pt idx="0">
                  <c:v>22</c:v>
                </c:pt>
              </c:strCache>
            </c:strRef>
          </c:tx>
          <c:spPr>
            <a:solidFill>
              <a:schemeClr val="accent4">
                <a:lumMod val="8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'4_1.6_First_Mention'!$Q$26:$T$26</c:f>
              <c:numCache>
                <c:formatCode>0.00%</c:formatCode>
                <c:ptCount val="4"/>
                <c:pt idx="0">
                  <c:v>0</c:v>
                </c:pt>
                <c:pt idx="1">
                  <c:v>0</c:v>
                </c:pt>
                <c:pt idx="2">
                  <c:v>4.2683967901656139E-4</c:v>
                </c:pt>
                <c:pt idx="3">
                  <c:v>0</c:v>
                </c:pt>
              </c:numCache>
            </c:numRef>
          </c:val>
          <c:extLst>
            <c:ext xmlns:c16="http://schemas.microsoft.com/office/drawing/2014/chart" uri="{C3380CC4-5D6E-409C-BE32-E72D297353CC}">
              <c16:uniqueId val="{00000015-99CF-4A5F-A5D8-896330D0E225}"/>
            </c:ext>
          </c:extLst>
        </c:ser>
        <c:ser>
          <c:idx val="22"/>
          <c:order val="22"/>
          <c:tx>
            <c:strRef>
              <c:f>'4_1.6_First_Mention'!$P$27</c:f>
              <c:strCache>
                <c:ptCount val="1"/>
                <c:pt idx="0">
                  <c:v>23</c:v>
                </c:pt>
              </c:strCache>
            </c:strRef>
          </c:tx>
          <c:spPr>
            <a:solidFill>
              <a:schemeClr val="accent5">
                <a:lumMod val="8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'4_1.6_First_Mention'!$Q$27:$T$27</c:f>
              <c:numCache>
                <c:formatCode>0.00%</c:formatCode>
                <c:ptCount val="4"/>
                <c:pt idx="0">
                  <c:v>0</c:v>
                </c:pt>
                <c:pt idx="1">
                  <c:v>0</c:v>
                </c:pt>
                <c:pt idx="2">
                  <c:v>4.2683967901656139E-4</c:v>
                </c:pt>
                <c:pt idx="3">
                  <c:v>0</c:v>
                </c:pt>
              </c:numCache>
            </c:numRef>
          </c:val>
          <c:extLst>
            <c:ext xmlns:c16="http://schemas.microsoft.com/office/drawing/2014/chart" uri="{C3380CC4-5D6E-409C-BE32-E72D297353CC}">
              <c16:uniqueId val="{00000016-99CF-4A5F-A5D8-896330D0E225}"/>
            </c:ext>
          </c:extLst>
        </c:ser>
        <c:ser>
          <c:idx val="23"/>
          <c:order val="23"/>
          <c:tx>
            <c:strRef>
              <c:f>'4_1.6_First_Mention'!$P$28</c:f>
              <c:strCache>
                <c:ptCount val="1"/>
                <c:pt idx="0">
                  <c:v>24</c:v>
                </c:pt>
              </c:strCache>
            </c:strRef>
          </c:tx>
          <c:spPr>
            <a:solidFill>
              <a:schemeClr val="accent6">
                <a:lumMod val="8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'4_1.6_First_Mention'!$Q$28:$T$28</c:f>
              <c:numCache>
                <c:formatCode>0.00%</c:formatCode>
                <c:ptCount val="4"/>
                <c:pt idx="0">
                  <c:v>0</c:v>
                </c:pt>
                <c:pt idx="1">
                  <c:v>0</c:v>
                </c:pt>
                <c:pt idx="2">
                  <c:v>5.9757555062318597E-4</c:v>
                </c:pt>
                <c:pt idx="3">
                  <c:v>0</c:v>
                </c:pt>
              </c:numCache>
            </c:numRef>
          </c:val>
          <c:extLst>
            <c:ext xmlns:c16="http://schemas.microsoft.com/office/drawing/2014/chart" uri="{C3380CC4-5D6E-409C-BE32-E72D297353CC}">
              <c16:uniqueId val="{00000017-99CF-4A5F-A5D8-896330D0E225}"/>
            </c:ext>
          </c:extLst>
        </c:ser>
        <c:ser>
          <c:idx val="24"/>
          <c:order val="24"/>
          <c:tx>
            <c:strRef>
              <c:f>'4_1.6_First_Mention'!$P$29</c:f>
              <c:strCache>
                <c:ptCount val="1"/>
                <c:pt idx="0">
                  <c:v>25</c:v>
                </c:pt>
              </c:strCache>
            </c:strRef>
          </c:tx>
          <c:spPr>
            <a:solidFill>
              <a:schemeClr val="accent1">
                <a:lumMod val="60000"/>
                <a:lumOff val="4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'4_1.6_First_Mention'!$Q$29:$T$29</c:f>
              <c:numCache>
                <c:formatCode>0.00%</c:formatCode>
                <c:ptCount val="4"/>
                <c:pt idx="0">
                  <c:v>0</c:v>
                </c:pt>
                <c:pt idx="1">
                  <c:v>0</c:v>
                </c:pt>
                <c:pt idx="2">
                  <c:v>0</c:v>
                </c:pt>
                <c:pt idx="3">
                  <c:v>0</c:v>
                </c:pt>
              </c:numCache>
            </c:numRef>
          </c:val>
          <c:extLst>
            <c:ext xmlns:c16="http://schemas.microsoft.com/office/drawing/2014/chart" uri="{C3380CC4-5D6E-409C-BE32-E72D297353CC}">
              <c16:uniqueId val="{00000018-99CF-4A5F-A5D8-896330D0E225}"/>
            </c:ext>
          </c:extLst>
        </c:ser>
        <c:ser>
          <c:idx val="25"/>
          <c:order val="25"/>
          <c:tx>
            <c:strRef>
              <c:f>'4_1.6_First_Mention'!$P$30</c:f>
              <c:strCache>
                <c:ptCount val="1"/>
                <c:pt idx="0">
                  <c:v>26</c:v>
                </c:pt>
              </c:strCache>
            </c:strRef>
          </c:tx>
          <c:spPr>
            <a:solidFill>
              <a:schemeClr val="accent2">
                <a:lumMod val="60000"/>
                <a:lumOff val="4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'4_1.6_First_Mention'!$Q$30:$T$30</c:f>
              <c:numCache>
                <c:formatCode>0.00%</c:formatCode>
                <c:ptCount val="4"/>
                <c:pt idx="0">
                  <c:v>0</c:v>
                </c:pt>
                <c:pt idx="1">
                  <c:v>0</c:v>
                </c:pt>
                <c:pt idx="2">
                  <c:v>0</c:v>
                </c:pt>
                <c:pt idx="3">
                  <c:v>0</c:v>
                </c:pt>
              </c:numCache>
            </c:numRef>
          </c:val>
          <c:extLst>
            <c:ext xmlns:c16="http://schemas.microsoft.com/office/drawing/2014/chart" uri="{C3380CC4-5D6E-409C-BE32-E72D297353CC}">
              <c16:uniqueId val="{00000019-99CF-4A5F-A5D8-896330D0E225}"/>
            </c:ext>
          </c:extLst>
        </c:ser>
        <c:ser>
          <c:idx val="26"/>
          <c:order val="26"/>
          <c:tx>
            <c:strRef>
              <c:f>'4_1.6_First_Mention'!$P$31</c:f>
              <c:strCache>
                <c:ptCount val="1"/>
                <c:pt idx="0">
                  <c:v>27</c:v>
                </c:pt>
              </c:strCache>
            </c:strRef>
          </c:tx>
          <c:spPr>
            <a:solidFill>
              <a:schemeClr val="accent3">
                <a:lumMod val="60000"/>
                <a:lumOff val="4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'4_1.6_First_Mention'!$Q$31:$T$31</c:f>
              <c:numCache>
                <c:formatCode>0.00%</c:formatCode>
                <c:ptCount val="4"/>
                <c:pt idx="0">
                  <c:v>0</c:v>
                </c:pt>
                <c:pt idx="1">
                  <c:v>0</c:v>
                </c:pt>
                <c:pt idx="2">
                  <c:v>0</c:v>
                </c:pt>
                <c:pt idx="3">
                  <c:v>0</c:v>
                </c:pt>
              </c:numCache>
            </c:numRef>
          </c:val>
          <c:extLst>
            <c:ext xmlns:c16="http://schemas.microsoft.com/office/drawing/2014/chart" uri="{C3380CC4-5D6E-409C-BE32-E72D297353CC}">
              <c16:uniqueId val="{0000001A-99CF-4A5F-A5D8-896330D0E225}"/>
            </c:ext>
          </c:extLst>
        </c:ser>
        <c:ser>
          <c:idx val="27"/>
          <c:order val="27"/>
          <c:tx>
            <c:strRef>
              <c:f>'4_1.6_First_Mention'!$P$32</c:f>
              <c:strCache>
                <c:ptCount val="1"/>
                <c:pt idx="0">
                  <c:v>28</c:v>
                </c:pt>
              </c:strCache>
            </c:strRef>
          </c:tx>
          <c:spPr>
            <a:solidFill>
              <a:schemeClr val="accent4">
                <a:lumMod val="60000"/>
                <a:lumOff val="4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'4_1.6_First_Mention'!$Q$32:$T$32</c:f>
              <c:numCache>
                <c:formatCode>0.00%</c:formatCode>
                <c:ptCount val="4"/>
                <c:pt idx="0">
                  <c:v>0</c:v>
                </c:pt>
                <c:pt idx="1">
                  <c:v>0</c:v>
                </c:pt>
                <c:pt idx="2">
                  <c:v>0</c:v>
                </c:pt>
                <c:pt idx="3">
                  <c:v>0</c:v>
                </c:pt>
              </c:numCache>
            </c:numRef>
          </c:val>
          <c:extLst>
            <c:ext xmlns:c16="http://schemas.microsoft.com/office/drawing/2014/chart" uri="{C3380CC4-5D6E-409C-BE32-E72D297353CC}">
              <c16:uniqueId val="{0000001B-99CF-4A5F-A5D8-896330D0E225}"/>
            </c:ext>
          </c:extLst>
        </c:ser>
        <c:ser>
          <c:idx val="28"/>
          <c:order val="28"/>
          <c:tx>
            <c:strRef>
              <c:f>'4_1.6_First_Mention'!$P$33</c:f>
              <c:strCache>
                <c:ptCount val="1"/>
                <c:pt idx="0">
                  <c:v>29</c:v>
                </c:pt>
              </c:strCache>
            </c:strRef>
          </c:tx>
          <c:spPr>
            <a:solidFill>
              <a:schemeClr val="accent5">
                <a:lumMod val="60000"/>
                <a:lumOff val="4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'4_1.6_First_Mention'!$Q$33:$T$33</c:f>
              <c:numCache>
                <c:formatCode>0.00%</c:formatCode>
                <c:ptCount val="4"/>
                <c:pt idx="0">
                  <c:v>0</c:v>
                </c:pt>
                <c:pt idx="1">
                  <c:v>0</c:v>
                </c:pt>
                <c:pt idx="2">
                  <c:v>0</c:v>
                </c:pt>
                <c:pt idx="3">
                  <c:v>0</c:v>
                </c:pt>
              </c:numCache>
            </c:numRef>
          </c:val>
          <c:extLst>
            <c:ext xmlns:c16="http://schemas.microsoft.com/office/drawing/2014/chart" uri="{C3380CC4-5D6E-409C-BE32-E72D297353CC}">
              <c16:uniqueId val="{0000001C-99CF-4A5F-A5D8-896330D0E225}"/>
            </c:ext>
          </c:extLst>
        </c:ser>
        <c:ser>
          <c:idx val="29"/>
          <c:order val="29"/>
          <c:tx>
            <c:strRef>
              <c:f>'4_1.6_First_Mention'!$P$34</c:f>
              <c:strCache>
                <c:ptCount val="1"/>
                <c:pt idx="0">
                  <c:v>30</c:v>
                </c:pt>
              </c:strCache>
            </c:strRef>
          </c:tx>
          <c:spPr>
            <a:solidFill>
              <a:schemeClr val="accent6">
                <a:lumMod val="60000"/>
                <a:lumOff val="40000"/>
              </a:schemeClr>
            </a:solidFill>
            <a:ln>
              <a:noFill/>
            </a:ln>
            <a:effectLst/>
          </c:spPr>
          <c:invertIfNegative val="0"/>
          <c:cat>
            <c:strRef>
              <c:f>'4_1.6_First_Mention'!$Q$4:$T$4</c:f>
              <c:strCache>
                <c:ptCount val="4"/>
                <c:pt idx="0">
                  <c:v>Colorado</c:v>
                </c:pt>
                <c:pt idx="1">
                  <c:v>Kentucky</c:v>
                </c:pt>
                <c:pt idx="2">
                  <c:v>Louisiana</c:v>
                </c:pt>
                <c:pt idx="3">
                  <c:v>New Mexico</c:v>
                </c:pt>
              </c:strCache>
            </c:strRef>
          </c:cat>
          <c:val>
            <c:numRef>
              <c:f>'4_1.6_First_Mention'!$Q$34:$T$34</c:f>
              <c:numCache>
                <c:formatCode>0.00%</c:formatCode>
                <c:ptCount val="4"/>
                <c:pt idx="0">
                  <c:v>0</c:v>
                </c:pt>
                <c:pt idx="1">
                  <c:v>0</c:v>
                </c:pt>
                <c:pt idx="2">
                  <c:v>0</c:v>
                </c:pt>
                <c:pt idx="3">
                  <c:v>0</c:v>
                </c:pt>
              </c:numCache>
            </c:numRef>
          </c:val>
          <c:extLst>
            <c:ext xmlns:c16="http://schemas.microsoft.com/office/drawing/2014/chart" uri="{C3380CC4-5D6E-409C-BE32-E72D297353CC}">
              <c16:uniqueId val="{0000001D-99CF-4A5F-A5D8-896330D0E225}"/>
            </c:ext>
          </c:extLst>
        </c:ser>
        <c:dLbls>
          <c:showLegendKey val="0"/>
          <c:showVal val="0"/>
          <c:showCatName val="0"/>
          <c:showSerName val="0"/>
          <c:showPercent val="0"/>
          <c:showBubbleSize val="0"/>
        </c:dLbls>
        <c:gapWidth val="150"/>
        <c:overlap val="100"/>
        <c:axId val="446917008"/>
        <c:axId val="505242832"/>
      </c:barChart>
      <c:catAx>
        <c:axId val="44691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5242832"/>
        <c:crosses val="autoZero"/>
        <c:auto val="1"/>
        <c:lblAlgn val="ctr"/>
        <c:lblOffset val="100"/>
        <c:noMultiLvlLbl val="0"/>
      </c:catAx>
      <c:valAx>
        <c:axId val="505242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91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4_6: Percent of positions of the first mentioned drug poisoning code For Records with Any Mention of drug poisoning (definition 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'4_1.6_First_Mention'!$AE$5</c:f>
              <c:strCache>
                <c:ptCount val="1"/>
                <c:pt idx="0">
                  <c:v>1</c:v>
                </c:pt>
              </c:strCache>
            </c:strRef>
          </c:tx>
          <c:spPr>
            <a:solidFill>
              <a:schemeClr val="accent1"/>
            </a:solidFill>
            <a:ln>
              <a:noFill/>
            </a:ln>
            <a:effectLst/>
          </c:spPr>
          <c:invertIfNegative val="0"/>
          <c:cat>
            <c:strRef>
              <c:f>'4_1.6_First_Mention'!$AF$4:$AJ$4</c:f>
              <c:strCache>
                <c:ptCount val="5"/>
                <c:pt idx="0">
                  <c:v>Colorado</c:v>
                </c:pt>
                <c:pt idx="1">
                  <c:v>Kentucky</c:v>
                </c:pt>
                <c:pt idx="2">
                  <c:v>Louisiana</c:v>
                </c:pt>
                <c:pt idx="3">
                  <c:v>New Mexico</c:v>
                </c:pt>
                <c:pt idx="4">
                  <c:v>Tennnessee</c:v>
                </c:pt>
              </c:strCache>
            </c:strRef>
          </c:cat>
          <c:val>
            <c:numRef>
              <c:f>'4_1.6_First_Mention'!$AF$5:$AJ$5</c:f>
              <c:numCache>
                <c:formatCode>0.00%</c:formatCode>
                <c:ptCount val="5"/>
                <c:pt idx="0">
                  <c:v>0.80717587497248511</c:v>
                </c:pt>
                <c:pt idx="1">
                  <c:v>0.87978307548312507</c:v>
                </c:pt>
                <c:pt idx="2">
                  <c:v>0.69779750725627454</c:v>
                </c:pt>
                <c:pt idx="3">
                  <c:v>0.79722814498933903</c:v>
                </c:pt>
                <c:pt idx="4">
                  <c:v>0.81072746296602238</c:v>
                </c:pt>
              </c:numCache>
            </c:numRef>
          </c:val>
          <c:extLst>
            <c:ext xmlns:c16="http://schemas.microsoft.com/office/drawing/2014/chart" uri="{C3380CC4-5D6E-409C-BE32-E72D297353CC}">
              <c16:uniqueId val="{00000000-A50A-45DF-9FC7-161E0056E910}"/>
            </c:ext>
          </c:extLst>
        </c:ser>
        <c:ser>
          <c:idx val="1"/>
          <c:order val="1"/>
          <c:tx>
            <c:strRef>
              <c:f>'4_1.6_First_Mention'!$AE$6</c:f>
              <c:strCache>
                <c:ptCount val="1"/>
                <c:pt idx="0">
                  <c:v>2-5</c:v>
                </c:pt>
              </c:strCache>
            </c:strRef>
          </c:tx>
          <c:spPr>
            <a:solidFill>
              <a:schemeClr val="accent2"/>
            </a:solidFill>
            <a:ln>
              <a:noFill/>
            </a:ln>
            <a:effectLst/>
          </c:spPr>
          <c:invertIfNegative val="0"/>
          <c:cat>
            <c:strRef>
              <c:f>'4_1.6_First_Mention'!$AF$4:$AJ$4</c:f>
              <c:strCache>
                <c:ptCount val="5"/>
                <c:pt idx="0">
                  <c:v>Colorado</c:v>
                </c:pt>
                <c:pt idx="1">
                  <c:v>Kentucky</c:v>
                </c:pt>
                <c:pt idx="2">
                  <c:v>Louisiana</c:v>
                </c:pt>
                <c:pt idx="3">
                  <c:v>New Mexico</c:v>
                </c:pt>
                <c:pt idx="4">
                  <c:v>Tennnessee</c:v>
                </c:pt>
              </c:strCache>
            </c:strRef>
          </c:cat>
          <c:val>
            <c:numRef>
              <c:f>'4_1.6_First_Mention'!$AF$6:$AJ$6</c:f>
              <c:numCache>
                <c:formatCode>0.00%</c:formatCode>
                <c:ptCount val="5"/>
                <c:pt idx="0">
                  <c:v>0.17829627999119524</c:v>
                </c:pt>
                <c:pt idx="1">
                  <c:v>0.11537190992677421</c:v>
                </c:pt>
                <c:pt idx="2">
                  <c:v>0.21879801946388935</c:v>
                </c:pt>
                <c:pt idx="3">
                  <c:v>0.18059701492537314</c:v>
                </c:pt>
                <c:pt idx="4">
                  <c:v>0.18024120270940031</c:v>
                </c:pt>
              </c:numCache>
            </c:numRef>
          </c:val>
          <c:extLst>
            <c:ext xmlns:c16="http://schemas.microsoft.com/office/drawing/2014/chart" uri="{C3380CC4-5D6E-409C-BE32-E72D297353CC}">
              <c16:uniqueId val="{00000001-A50A-45DF-9FC7-161E0056E910}"/>
            </c:ext>
          </c:extLst>
        </c:ser>
        <c:ser>
          <c:idx val="2"/>
          <c:order val="2"/>
          <c:tx>
            <c:strRef>
              <c:f>'4_1.6_First_Mention'!$AE$7</c:f>
              <c:strCache>
                <c:ptCount val="1"/>
                <c:pt idx="0">
                  <c:v>6-10</c:v>
                </c:pt>
              </c:strCache>
            </c:strRef>
          </c:tx>
          <c:spPr>
            <a:solidFill>
              <a:schemeClr val="accent3"/>
            </a:solidFill>
            <a:ln>
              <a:noFill/>
            </a:ln>
            <a:effectLst/>
          </c:spPr>
          <c:invertIfNegative val="0"/>
          <c:cat>
            <c:strRef>
              <c:f>'4_1.6_First_Mention'!$AF$4:$AJ$4</c:f>
              <c:strCache>
                <c:ptCount val="5"/>
                <c:pt idx="0">
                  <c:v>Colorado</c:v>
                </c:pt>
                <c:pt idx="1">
                  <c:v>Kentucky</c:v>
                </c:pt>
                <c:pt idx="2">
                  <c:v>Louisiana</c:v>
                </c:pt>
                <c:pt idx="3">
                  <c:v>New Mexico</c:v>
                </c:pt>
                <c:pt idx="4">
                  <c:v>Tennnessee</c:v>
                </c:pt>
              </c:strCache>
            </c:strRef>
          </c:cat>
          <c:val>
            <c:numRef>
              <c:f>'4_1.6_First_Mention'!$AF$7:$AJ$7</c:f>
              <c:numCache>
                <c:formatCode>0.00%</c:formatCode>
                <c:ptCount val="5"/>
                <c:pt idx="0">
                  <c:v>1.1886418666079684E-2</c:v>
                </c:pt>
                <c:pt idx="1">
                  <c:v>3.7438749105324011E-3</c:v>
                </c:pt>
                <c:pt idx="2">
                  <c:v>5.5489158272152977E-2</c:v>
                </c:pt>
                <c:pt idx="3">
                  <c:v>1.5138592750533048E-2</c:v>
                </c:pt>
                <c:pt idx="4">
                  <c:v>7.9850212016080186E-3</c:v>
                </c:pt>
              </c:numCache>
            </c:numRef>
          </c:val>
          <c:extLst>
            <c:ext xmlns:c16="http://schemas.microsoft.com/office/drawing/2014/chart" uri="{C3380CC4-5D6E-409C-BE32-E72D297353CC}">
              <c16:uniqueId val="{00000002-A50A-45DF-9FC7-161E0056E910}"/>
            </c:ext>
          </c:extLst>
        </c:ser>
        <c:ser>
          <c:idx val="3"/>
          <c:order val="3"/>
          <c:tx>
            <c:strRef>
              <c:f>'4_1.6_First_Mention'!$AE$8</c:f>
              <c:strCache>
                <c:ptCount val="1"/>
                <c:pt idx="0">
                  <c:v>11-15</c:v>
                </c:pt>
              </c:strCache>
            </c:strRef>
          </c:tx>
          <c:spPr>
            <a:solidFill>
              <a:schemeClr val="accent4"/>
            </a:solidFill>
            <a:ln>
              <a:noFill/>
            </a:ln>
            <a:effectLst/>
          </c:spPr>
          <c:invertIfNegative val="0"/>
          <c:cat>
            <c:strRef>
              <c:f>'4_1.6_First_Mention'!$AF$4:$AJ$4</c:f>
              <c:strCache>
                <c:ptCount val="5"/>
                <c:pt idx="0">
                  <c:v>Colorado</c:v>
                </c:pt>
                <c:pt idx="1">
                  <c:v>Kentucky</c:v>
                </c:pt>
                <c:pt idx="2">
                  <c:v>Louisiana</c:v>
                </c:pt>
                <c:pt idx="3">
                  <c:v>New Mexico</c:v>
                </c:pt>
                <c:pt idx="4">
                  <c:v>Tennnessee</c:v>
                </c:pt>
              </c:strCache>
            </c:strRef>
          </c:cat>
          <c:val>
            <c:numRef>
              <c:f>'4_1.6_First_Mention'!$AF$8:$AJ$8</c:f>
              <c:numCache>
                <c:formatCode>0.00%</c:formatCode>
                <c:ptCount val="5"/>
                <c:pt idx="0">
                  <c:v>2.0911292097732775E-3</c:v>
                </c:pt>
                <c:pt idx="1">
                  <c:v>8.5338325166547382E-4</c:v>
                </c:pt>
                <c:pt idx="2">
                  <c:v>1.7671162711285642E-2</c:v>
                </c:pt>
                <c:pt idx="3">
                  <c:v>5.1172707889125804E-3</c:v>
                </c:pt>
                <c:pt idx="4">
                  <c:v>1.0463131229693264E-3</c:v>
                </c:pt>
              </c:numCache>
            </c:numRef>
          </c:val>
          <c:extLst>
            <c:ext xmlns:c16="http://schemas.microsoft.com/office/drawing/2014/chart" uri="{C3380CC4-5D6E-409C-BE32-E72D297353CC}">
              <c16:uniqueId val="{00000003-A50A-45DF-9FC7-161E0056E910}"/>
            </c:ext>
          </c:extLst>
        </c:ser>
        <c:ser>
          <c:idx val="4"/>
          <c:order val="4"/>
          <c:tx>
            <c:strRef>
              <c:f>'4_1.6_First_Mention'!$AE$9</c:f>
              <c:strCache>
                <c:ptCount val="1"/>
                <c:pt idx="0">
                  <c:v>16-30</c:v>
                </c:pt>
              </c:strCache>
            </c:strRef>
          </c:tx>
          <c:spPr>
            <a:solidFill>
              <a:schemeClr val="accent5"/>
            </a:solidFill>
            <a:ln>
              <a:noFill/>
            </a:ln>
            <a:effectLst/>
          </c:spPr>
          <c:invertIfNegative val="0"/>
          <c:cat>
            <c:strRef>
              <c:f>'4_1.6_First_Mention'!$AF$4:$AJ$4</c:f>
              <c:strCache>
                <c:ptCount val="5"/>
                <c:pt idx="0">
                  <c:v>Colorado</c:v>
                </c:pt>
                <c:pt idx="1">
                  <c:v>Kentucky</c:v>
                </c:pt>
                <c:pt idx="2">
                  <c:v>Louisiana</c:v>
                </c:pt>
                <c:pt idx="3">
                  <c:v>New Mexico</c:v>
                </c:pt>
                <c:pt idx="4">
                  <c:v>Tennnessee</c:v>
                </c:pt>
              </c:strCache>
            </c:strRef>
          </c:cat>
          <c:val>
            <c:numRef>
              <c:f>'4_1.6_First_Mention'!$AF$9:$AJ$9</c:f>
              <c:numCache>
                <c:formatCode>0.00%</c:formatCode>
                <c:ptCount val="5"/>
                <c:pt idx="0">
                  <c:v>5.5029716046665195E-4</c:v>
                </c:pt>
                <c:pt idx="1">
                  <c:v>2.4775642790287949E-4</c:v>
                </c:pt>
                <c:pt idx="2">
                  <c:v>1.0244152296397474E-2</c:v>
                </c:pt>
                <c:pt idx="3">
                  <c:v>1.9189765458422175E-3</c:v>
                </c:pt>
                <c:pt idx="4">
                  <c:v>0</c:v>
                </c:pt>
              </c:numCache>
            </c:numRef>
          </c:val>
          <c:extLst>
            <c:ext xmlns:c16="http://schemas.microsoft.com/office/drawing/2014/chart" uri="{C3380CC4-5D6E-409C-BE32-E72D297353CC}">
              <c16:uniqueId val="{00000004-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ED: Table 4_1.7a. Of cases with any mention of a T code, distribution of the top 3 chapters for the first listed Diagnosis. (all other chapters &lt;1%)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'4_1.7_Primary'!$P$5</c:f>
              <c:strCache>
                <c:ptCount val="1"/>
                <c:pt idx="0">
                  <c:v>A00-B99: Infectious and parasitic diseases</c:v>
                </c:pt>
              </c:strCache>
            </c:strRef>
          </c:tx>
          <c:spPr>
            <a:solidFill>
              <a:schemeClr val="accent1"/>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'4_1.7_Primary'!$Q$5:$U$5</c:f>
              <c:numCache>
                <c:formatCode>0.00%</c:formatCode>
                <c:ptCount val="5"/>
                <c:pt idx="0">
                  <c:v>0</c:v>
                </c:pt>
                <c:pt idx="1">
                  <c:v>8.301421953244249E-4</c:v>
                </c:pt>
                <c:pt idx="2">
                  <c:v>1.2347620920173025E-2</c:v>
                </c:pt>
                <c:pt idx="3">
                  <c:v>8.3983203359328136E-3</c:v>
                </c:pt>
                <c:pt idx="4">
                  <c:v>1.2141047297297297E-3</c:v>
                </c:pt>
              </c:numCache>
            </c:numRef>
          </c:val>
          <c:extLst>
            <c:ext xmlns:c16="http://schemas.microsoft.com/office/drawing/2014/chart" uri="{C3380CC4-5D6E-409C-BE32-E72D297353CC}">
              <c16:uniqueId val="{00000000-A50A-45DF-9FC7-161E0056E910}"/>
            </c:ext>
          </c:extLst>
        </c:ser>
        <c:ser>
          <c:idx val="1"/>
          <c:order val="1"/>
          <c:tx>
            <c:strRef>
              <c:f>'4_1.7_Primary'!$P$6</c:f>
              <c:strCache>
                <c:ptCount val="1"/>
                <c:pt idx="0">
                  <c:v>C00-D49: Neoplasms</c:v>
                </c:pt>
              </c:strCache>
            </c:strRef>
          </c:tx>
          <c:spPr>
            <a:solidFill>
              <a:schemeClr val="accent2"/>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'4_1.7_Primary'!$Q$6:$U$6</c:f>
              <c:numCache>
                <c:formatCode>0.00%</c:formatCode>
                <c:ptCount val="5"/>
                <c:pt idx="0">
                  <c:v>1.0245901639344262E-4</c:v>
                </c:pt>
                <c:pt idx="1">
                  <c:v>0</c:v>
                </c:pt>
                <c:pt idx="2">
                  <c:v>1.2583562721195439E-3</c:v>
                </c:pt>
                <c:pt idx="3">
                  <c:v>0</c:v>
                </c:pt>
                <c:pt idx="4">
                  <c:v>1.0557432432432433E-4</c:v>
                </c:pt>
              </c:numCache>
            </c:numRef>
          </c:val>
          <c:extLst>
            <c:ext xmlns:c16="http://schemas.microsoft.com/office/drawing/2014/chart" uri="{C3380CC4-5D6E-409C-BE32-E72D297353CC}">
              <c16:uniqueId val="{00000001-A50A-45DF-9FC7-161E0056E910}"/>
            </c:ext>
          </c:extLst>
        </c:ser>
        <c:ser>
          <c:idx val="2"/>
          <c:order val="2"/>
          <c:tx>
            <c:strRef>
              <c:f>'4_1.7_Primary'!$P$7</c:f>
              <c:strCache>
                <c:ptCount val="1"/>
                <c:pt idx="0">
                  <c:v>D50-D89: Diseases of the blood and blood-forming organs, certain immunity disorders</c:v>
                </c:pt>
              </c:strCache>
            </c:strRef>
          </c:tx>
          <c:spPr>
            <a:solidFill>
              <a:schemeClr val="accent3"/>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'4_1.7_Primary'!$Q$7:$U$7</c:f>
              <c:numCache>
                <c:formatCode>0.00%</c:formatCode>
                <c:ptCount val="5"/>
                <c:pt idx="0">
                  <c:v>4.0983606557377049E-4</c:v>
                </c:pt>
                <c:pt idx="1">
                  <c:v>4.2846048790938062E-4</c:v>
                </c:pt>
                <c:pt idx="2">
                  <c:v>2.0448289421942586E-3</c:v>
                </c:pt>
                <c:pt idx="3">
                  <c:v>7.9984003199360125E-4</c:v>
                </c:pt>
                <c:pt idx="4">
                  <c:v>1.4780405405405406E-3</c:v>
                </c:pt>
              </c:numCache>
            </c:numRef>
          </c:val>
          <c:extLst>
            <c:ext xmlns:c16="http://schemas.microsoft.com/office/drawing/2014/chart" uri="{C3380CC4-5D6E-409C-BE32-E72D297353CC}">
              <c16:uniqueId val="{00000002-A50A-45DF-9FC7-161E0056E910}"/>
            </c:ext>
          </c:extLst>
        </c:ser>
        <c:ser>
          <c:idx val="3"/>
          <c:order val="3"/>
          <c:tx>
            <c:strRef>
              <c:f>'4_1.7_Primary'!$P$8</c:f>
              <c:strCache>
                <c:ptCount val="1"/>
                <c:pt idx="0">
                  <c:v>E00-E89: Endocrine, nutritional and metabolic diseases</c:v>
                </c:pt>
              </c:strCache>
            </c:strRef>
          </c:tx>
          <c:spPr>
            <a:solidFill>
              <a:schemeClr val="accent4"/>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'4_1.7_Primary'!$Q$8:$U$8</c:f>
              <c:numCache>
                <c:formatCode>0.00%</c:formatCode>
                <c:ptCount val="5"/>
                <c:pt idx="0">
                  <c:v>3.7909836065573772E-3</c:v>
                </c:pt>
                <c:pt idx="1">
                  <c:v>4.0435958546447791E-3</c:v>
                </c:pt>
                <c:pt idx="2">
                  <c:v>5.5839559575304757E-3</c:v>
                </c:pt>
                <c:pt idx="3">
                  <c:v>5.99880023995201E-3</c:v>
                </c:pt>
                <c:pt idx="4">
                  <c:v>5.9649493243243241E-3</c:v>
                </c:pt>
              </c:numCache>
            </c:numRef>
          </c:val>
          <c:extLst>
            <c:ext xmlns:c16="http://schemas.microsoft.com/office/drawing/2014/chart" uri="{C3380CC4-5D6E-409C-BE32-E72D297353CC}">
              <c16:uniqueId val="{00000003-A50A-45DF-9FC7-161E0056E910}"/>
            </c:ext>
          </c:extLst>
        </c:ser>
        <c:ser>
          <c:idx val="4"/>
          <c:order val="4"/>
          <c:tx>
            <c:strRef>
              <c:f>'4_1.7_Primary'!$P$9</c:f>
              <c:strCache>
                <c:ptCount val="1"/>
                <c:pt idx="0">
                  <c:v>F01-F99: Mental disorders</c:v>
                </c:pt>
              </c:strCache>
            </c:strRef>
          </c:tx>
          <c:spPr>
            <a:solidFill>
              <a:schemeClr val="accent5"/>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'4_1.7_Primary'!$Q$9:$U$9</c:f>
              <c:numCache>
                <c:formatCode>0.00%</c:formatCode>
                <c:ptCount val="5"/>
                <c:pt idx="0">
                  <c:v>7.0184426229508198E-2</c:v>
                </c:pt>
                <c:pt idx="1">
                  <c:v>2.7608922689660712E-2</c:v>
                </c:pt>
                <c:pt idx="2">
                  <c:v>9.0287062524577272E-2</c:v>
                </c:pt>
                <c:pt idx="3">
                  <c:v>6.2587482503499298E-2</c:v>
                </c:pt>
                <c:pt idx="4">
                  <c:v>4.2071368243243243E-2</c:v>
                </c:pt>
              </c:numCache>
            </c:numRef>
          </c:val>
          <c:extLst>
            <c:ext xmlns:c16="http://schemas.microsoft.com/office/drawing/2014/chart" uri="{C3380CC4-5D6E-409C-BE32-E72D297353CC}">
              <c16:uniqueId val="{00000004-A50A-45DF-9FC7-161E0056E910}"/>
            </c:ext>
          </c:extLst>
        </c:ser>
        <c:ser>
          <c:idx val="5"/>
          <c:order val="5"/>
          <c:tx>
            <c:strRef>
              <c:f>'4_1.7_Primary'!$P$10</c:f>
              <c:strCache>
                <c:ptCount val="1"/>
                <c:pt idx="0">
                  <c:v>G00-G99: Diseases of the nervous system</c:v>
                </c:pt>
              </c:strCache>
            </c:strRef>
          </c:tx>
          <c:spPr>
            <a:solidFill>
              <a:schemeClr val="accent6"/>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'4_1.7_Primary'!$Q$10:$U$10</c:f>
              <c:numCache>
                <c:formatCode>0.00%</c:formatCode>
                <c:ptCount val="5"/>
                <c:pt idx="0">
                  <c:v>2.0491803278688525E-4</c:v>
                </c:pt>
                <c:pt idx="1">
                  <c:v>4.6059502450258418E-3</c:v>
                </c:pt>
                <c:pt idx="2">
                  <c:v>6.9996067636649622E-3</c:v>
                </c:pt>
                <c:pt idx="3">
                  <c:v>5.5988802239552091E-3</c:v>
                </c:pt>
                <c:pt idx="4">
                  <c:v>8.7098817567567571E-3</c:v>
                </c:pt>
              </c:numCache>
            </c:numRef>
          </c:val>
          <c:extLst>
            <c:ext xmlns:c16="http://schemas.microsoft.com/office/drawing/2014/chart" uri="{C3380CC4-5D6E-409C-BE32-E72D297353CC}">
              <c16:uniqueId val="{00000005-A50A-45DF-9FC7-161E0056E910}"/>
            </c:ext>
          </c:extLst>
        </c:ser>
        <c:ser>
          <c:idx val="6"/>
          <c:order val="6"/>
          <c:tx>
            <c:strRef>
              <c:f>'4_1.7_Primary'!$P$11</c:f>
              <c:strCache>
                <c:ptCount val="1"/>
                <c:pt idx="0">
                  <c:v>H00-H59: Diseases of the eye and adnexa</c:v>
                </c:pt>
              </c:strCache>
            </c:strRef>
          </c:tx>
          <c:spPr>
            <a:solidFill>
              <a:schemeClr val="accent1">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'4_1.7_Primary'!$Q$11:$U$11</c:f>
              <c:numCache>
                <c:formatCode>0.00%</c:formatCode>
                <c:ptCount val="5"/>
                <c:pt idx="0">
                  <c:v>4.5081967213114757E-3</c:v>
                </c:pt>
                <c:pt idx="1">
                  <c:v>3.7490292692070803E-4</c:v>
                </c:pt>
                <c:pt idx="2">
                  <c:v>3.9323633503735744E-4</c:v>
                </c:pt>
                <c:pt idx="3">
                  <c:v>1.1997600479904018E-3</c:v>
                </c:pt>
                <c:pt idx="4">
                  <c:v>3.1672297297297299E-4</c:v>
                </c:pt>
              </c:numCache>
            </c:numRef>
          </c:val>
          <c:extLst>
            <c:ext xmlns:c16="http://schemas.microsoft.com/office/drawing/2014/chart" uri="{C3380CC4-5D6E-409C-BE32-E72D297353CC}">
              <c16:uniqueId val="{00000018-CE44-4944-83AA-461967F04E29}"/>
            </c:ext>
          </c:extLst>
        </c:ser>
        <c:ser>
          <c:idx val="7"/>
          <c:order val="7"/>
          <c:tx>
            <c:strRef>
              <c:f>'4_1.7_Primary'!$P$12</c:f>
              <c:strCache>
                <c:ptCount val="1"/>
                <c:pt idx="0">
                  <c:v>I00-I99: Diseases of the circulatory system</c:v>
                </c:pt>
              </c:strCache>
            </c:strRef>
          </c:tx>
          <c:spPr>
            <a:solidFill>
              <a:schemeClr val="accent2">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'4_1.7_Primary'!$Q$12:$U$12</c:f>
              <c:numCache>
                <c:formatCode>0.00%</c:formatCode>
                <c:ptCount val="5"/>
                <c:pt idx="0">
                  <c:v>2.971311475409836E-3</c:v>
                </c:pt>
                <c:pt idx="1">
                  <c:v>6.5072436601237181E-3</c:v>
                </c:pt>
                <c:pt idx="2">
                  <c:v>2.2099882029099488E-2</c:v>
                </c:pt>
                <c:pt idx="3">
                  <c:v>5.3989202159568086E-3</c:v>
                </c:pt>
                <c:pt idx="4">
                  <c:v>7.8125E-3</c:v>
                </c:pt>
              </c:numCache>
            </c:numRef>
          </c:val>
          <c:extLst>
            <c:ext xmlns:c16="http://schemas.microsoft.com/office/drawing/2014/chart" uri="{C3380CC4-5D6E-409C-BE32-E72D297353CC}">
              <c16:uniqueId val="{00000019-CE44-4944-83AA-461967F04E29}"/>
            </c:ext>
          </c:extLst>
        </c:ser>
        <c:ser>
          <c:idx val="8"/>
          <c:order val="8"/>
          <c:tx>
            <c:strRef>
              <c:f>'4_1.7_Primary'!$P$13</c:f>
              <c:strCache>
                <c:ptCount val="1"/>
                <c:pt idx="0">
                  <c:v>J00-J99: Diseases of the respiratory system</c:v>
                </c:pt>
              </c:strCache>
            </c:strRef>
          </c:tx>
          <c:spPr>
            <a:solidFill>
              <a:schemeClr val="accent3">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'4_1.7_Primary'!$Q$13:$U$13</c:f>
              <c:numCache>
                <c:formatCode>0.00%</c:formatCode>
                <c:ptCount val="5"/>
                <c:pt idx="0">
                  <c:v>3.4836065573770492E-3</c:v>
                </c:pt>
                <c:pt idx="1">
                  <c:v>6.721473904078408E-3</c:v>
                </c:pt>
                <c:pt idx="2">
                  <c:v>1.4392449862367283E-2</c:v>
                </c:pt>
                <c:pt idx="3">
                  <c:v>5.1989602079584082E-3</c:v>
                </c:pt>
                <c:pt idx="4">
                  <c:v>7.2318412162162161E-3</c:v>
                </c:pt>
              </c:numCache>
            </c:numRef>
          </c:val>
          <c:extLst>
            <c:ext xmlns:c16="http://schemas.microsoft.com/office/drawing/2014/chart" uri="{C3380CC4-5D6E-409C-BE32-E72D297353CC}">
              <c16:uniqueId val="{0000001A-CE44-4944-83AA-461967F04E29}"/>
            </c:ext>
          </c:extLst>
        </c:ser>
        <c:ser>
          <c:idx val="9"/>
          <c:order val="9"/>
          <c:tx>
            <c:strRef>
              <c:f>'4_1.7_Primary'!$P$14</c:f>
              <c:strCache>
                <c:ptCount val="1"/>
                <c:pt idx="0">
                  <c:v>K00-K95: Diseases of the digestive system</c:v>
                </c:pt>
              </c:strCache>
            </c:strRef>
          </c:tx>
          <c:spPr>
            <a:solidFill>
              <a:schemeClr val="accent4">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'4_1.7_Primary'!$Q$14:$U$14</c:f>
              <c:numCache>
                <c:formatCode>0.00%</c:formatCode>
                <c:ptCount val="5"/>
                <c:pt idx="0">
                  <c:v>2.7663934426229507E-3</c:v>
                </c:pt>
                <c:pt idx="1">
                  <c:v>2.2226387810299121E-3</c:v>
                </c:pt>
                <c:pt idx="2">
                  <c:v>8.7298466378293357E-3</c:v>
                </c:pt>
                <c:pt idx="3">
                  <c:v>4.5990801839632077E-3</c:v>
                </c:pt>
                <c:pt idx="4">
                  <c:v>3.90625E-3</c:v>
                </c:pt>
              </c:numCache>
            </c:numRef>
          </c:val>
          <c:extLst>
            <c:ext xmlns:c16="http://schemas.microsoft.com/office/drawing/2014/chart" uri="{C3380CC4-5D6E-409C-BE32-E72D297353CC}">
              <c16:uniqueId val="{0000001B-CE44-4944-83AA-461967F04E29}"/>
            </c:ext>
          </c:extLst>
        </c:ser>
        <c:ser>
          <c:idx val="10"/>
          <c:order val="10"/>
          <c:tx>
            <c:strRef>
              <c:f>'4_1.7_Primary'!$P$15</c:f>
              <c:strCache>
                <c:ptCount val="1"/>
                <c:pt idx="0">
                  <c:v>L00-L99: Diseases of the skin and subcutaneous tissue</c:v>
                </c:pt>
              </c:strCache>
            </c:strRef>
          </c:tx>
          <c:spPr>
            <a:solidFill>
              <a:schemeClr val="accent5">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'4_1.7_Primary'!$Q$15:$U$15</c:f>
              <c:numCache>
                <c:formatCode>0.00%</c:formatCode>
                <c:ptCount val="5"/>
                <c:pt idx="0">
                  <c:v>2.8688524590163933E-3</c:v>
                </c:pt>
                <c:pt idx="1">
                  <c:v>2.4904265859732747E-3</c:v>
                </c:pt>
                <c:pt idx="2">
                  <c:v>3.067243413291388E-3</c:v>
                </c:pt>
                <c:pt idx="3">
                  <c:v>2.5994801039792041E-3</c:v>
                </c:pt>
                <c:pt idx="4">
                  <c:v>1.636402027027027E-3</c:v>
                </c:pt>
              </c:numCache>
            </c:numRef>
          </c:val>
          <c:extLst>
            <c:ext xmlns:c16="http://schemas.microsoft.com/office/drawing/2014/chart" uri="{C3380CC4-5D6E-409C-BE32-E72D297353CC}">
              <c16:uniqueId val="{0000001C-CE44-4944-83AA-461967F04E29}"/>
            </c:ext>
          </c:extLst>
        </c:ser>
        <c:ser>
          <c:idx val="11"/>
          <c:order val="11"/>
          <c:tx>
            <c:strRef>
              <c:f>'4_1.7_Primary'!$P$16</c:f>
              <c:strCache>
                <c:ptCount val="1"/>
                <c:pt idx="0">
                  <c:v>M00-M99: Diseases of the musculoskeletal system and connective tissue</c:v>
                </c:pt>
              </c:strCache>
            </c:strRef>
          </c:tx>
          <c:spPr>
            <a:solidFill>
              <a:schemeClr val="accent6">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'4_1.7_Primary'!$Q$16:$U$16</c:f>
              <c:numCache>
                <c:formatCode>0.00%</c:formatCode>
                <c:ptCount val="5"/>
                <c:pt idx="0">
                  <c:v>3.2786885245901639E-3</c:v>
                </c:pt>
                <c:pt idx="1">
                  <c:v>2.4904265859732747E-3</c:v>
                </c:pt>
                <c:pt idx="2">
                  <c:v>4.6401887534408175E-3</c:v>
                </c:pt>
                <c:pt idx="3">
                  <c:v>2.5994801039792041E-3</c:v>
                </c:pt>
                <c:pt idx="4">
                  <c:v>2.3226351351351353E-3</c:v>
                </c:pt>
              </c:numCache>
            </c:numRef>
          </c:val>
          <c:extLst>
            <c:ext xmlns:c16="http://schemas.microsoft.com/office/drawing/2014/chart" uri="{C3380CC4-5D6E-409C-BE32-E72D297353CC}">
              <c16:uniqueId val="{0000001D-CE44-4944-83AA-461967F04E29}"/>
            </c:ext>
          </c:extLst>
        </c:ser>
        <c:ser>
          <c:idx val="12"/>
          <c:order val="12"/>
          <c:tx>
            <c:strRef>
              <c:f>'4_1.7_Primary'!$P$17</c:f>
              <c:strCache>
                <c:ptCount val="1"/>
                <c:pt idx="0">
                  <c:v>N00-N99: Diseases of the genitourinary system</c:v>
                </c:pt>
              </c:strCache>
            </c:strRef>
          </c:tx>
          <c:spPr>
            <a:solidFill>
              <a:schemeClr val="accent1">
                <a:lumMod val="80000"/>
                <a:lumOff val="2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'4_1.7_Primary'!$Q$17:$U$17</c:f>
              <c:numCache>
                <c:formatCode>0.00%</c:formatCode>
                <c:ptCount val="5"/>
                <c:pt idx="0">
                  <c:v>2.3565573770491805E-3</c:v>
                </c:pt>
                <c:pt idx="1">
                  <c:v>2.5439841469619474E-3</c:v>
                </c:pt>
                <c:pt idx="2">
                  <c:v>1.2583562721195438E-2</c:v>
                </c:pt>
                <c:pt idx="3">
                  <c:v>4.5990801839632077E-3</c:v>
                </c:pt>
                <c:pt idx="4">
                  <c:v>4.1701858108108107E-3</c:v>
                </c:pt>
              </c:numCache>
            </c:numRef>
          </c:val>
          <c:extLst>
            <c:ext xmlns:c16="http://schemas.microsoft.com/office/drawing/2014/chart" uri="{C3380CC4-5D6E-409C-BE32-E72D297353CC}">
              <c16:uniqueId val="{0000001E-CE44-4944-83AA-461967F04E29}"/>
            </c:ext>
          </c:extLst>
        </c:ser>
        <c:ser>
          <c:idx val="13"/>
          <c:order val="13"/>
          <c:tx>
            <c:strRef>
              <c:f>'4_1.7_Primary'!$P$18</c:f>
              <c:strCache>
                <c:ptCount val="1"/>
                <c:pt idx="0">
                  <c:v>O00-O9B: Complications of pregnancy, childbirth, and the puerperium</c:v>
                </c:pt>
              </c:strCache>
            </c:strRef>
          </c:tx>
          <c:spPr>
            <a:solidFill>
              <a:schemeClr val="accent2">
                <a:lumMod val="80000"/>
                <a:lumOff val="2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'4_1.7_Primary'!$Q$18:$U$18</c:f>
              <c:numCache>
                <c:formatCode>0.00%</c:formatCode>
                <c:ptCount val="5"/>
                <c:pt idx="0">
                  <c:v>2.663934426229508E-3</c:v>
                </c:pt>
                <c:pt idx="1">
                  <c:v>2.9456658543769916E-3</c:v>
                </c:pt>
                <c:pt idx="2">
                  <c:v>3.3818324813212741E-3</c:v>
                </c:pt>
                <c:pt idx="3">
                  <c:v>2.5994801039792041E-3</c:v>
                </c:pt>
                <c:pt idx="4">
                  <c:v>3.0088682432432433E-3</c:v>
                </c:pt>
              </c:numCache>
            </c:numRef>
          </c:val>
          <c:extLst>
            <c:ext xmlns:c16="http://schemas.microsoft.com/office/drawing/2014/chart" uri="{C3380CC4-5D6E-409C-BE32-E72D297353CC}">
              <c16:uniqueId val="{0000001F-CE44-4944-83AA-461967F04E29}"/>
            </c:ext>
          </c:extLst>
        </c:ser>
        <c:ser>
          <c:idx val="14"/>
          <c:order val="14"/>
          <c:tx>
            <c:strRef>
              <c:f>'4_1.7_Primary'!$P$19</c:f>
              <c:strCache>
                <c:ptCount val="1"/>
                <c:pt idx="0">
                  <c:v>Q00-Q99: Congenital malformations, deformations and chromosomal anomalies</c:v>
                </c:pt>
              </c:strCache>
            </c:strRef>
          </c:tx>
          <c:spPr>
            <a:solidFill>
              <a:schemeClr val="accent3">
                <a:lumMod val="80000"/>
                <a:lumOff val="2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'4_1.7_Primary'!$Q$19:$U$19</c:f>
              <c:numCache>
                <c:formatCode>0.00%</c:formatCode>
                <c:ptCount val="5"/>
                <c:pt idx="0">
                  <c:v>1.0245901639344262E-4</c:v>
                </c:pt>
                <c:pt idx="1">
                  <c:v>0</c:v>
                </c:pt>
                <c:pt idx="2">
                  <c:v>7.8647267007471493E-5</c:v>
                </c:pt>
                <c:pt idx="3">
                  <c:v>0</c:v>
                </c:pt>
                <c:pt idx="4">
                  <c:v>0</c:v>
                </c:pt>
              </c:numCache>
            </c:numRef>
          </c:val>
          <c:extLst>
            <c:ext xmlns:c16="http://schemas.microsoft.com/office/drawing/2014/chart" uri="{C3380CC4-5D6E-409C-BE32-E72D297353CC}">
              <c16:uniqueId val="{00000020-CE44-4944-83AA-461967F04E29}"/>
            </c:ext>
          </c:extLst>
        </c:ser>
        <c:ser>
          <c:idx val="15"/>
          <c:order val="15"/>
          <c:tx>
            <c:strRef>
              <c:f>'4_1.7_Primary'!$P$20</c:f>
              <c:strCache>
                <c:ptCount val="1"/>
                <c:pt idx="0">
                  <c:v>R00-R99: Symptoms, signs, and ill-defined conditions</c:v>
                </c:pt>
              </c:strCache>
            </c:strRef>
          </c:tx>
          <c:spPr>
            <a:solidFill>
              <a:schemeClr val="accent4">
                <a:lumMod val="80000"/>
                <a:lumOff val="2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'4_1.7_Primary'!$Q$20:$U$20</c:f>
              <c:numCache>
                <c:formatCode>0.00%</c:formatCode>
                <c:ptCount val="5"/>
                <c:pt idx="0">
                  <c:v>4.8668032786885244E-2</c:v>
                </c:pt>
                <c:pt idx="1">
                  <c:v>2.92959858608039E-2</c:v>
                </c:pt>
                <c:pt idx="2">
                  <c:v>4.8289421942587493E-2</c:v>
                </c:pt>
                <c:pt idx="3">
                  <c:v>5.0589882023595281E-2</c:v>
                </c:pt>
                <c:pt idx="4">
                  <c:v>5.6904560810810814E-2</c:v>
                </c:pt>
              </c:numCache>
            </c:numRef>
          </c:val>
          <c:extLst>
            <c:ext xmlns:c16="http://schemas.microsoft.com/office/drawing/2014/chart" uri="{C3380CC4-5D6E-409C-BE32-E72D297353CC}">
              <c16:uniqueId val="{00000021-CE44-4944-83AA-461967F04E29}"/>
            </c:ext>
          </c:extLst>
        </c:ser>
        <c:ser>
          <c:idx val="16"/>
          <c:order val="16"/>
          <c:tx>
            <c:strRef>
              <c:f>'4_1.7_Primary'!$P$21</c:f>
              <c:strCache>
                <c:ptCount val="1"/>
                <c:pt idx="0">
                  <c:v>S00-T88: Injury, poisoning, and certain other consequences of external causes</c:v>
                </c:pt>
              </c:strCache>
            </c:strRef>
          </c:tx>
          <c:spPr>
            <a:solidFill>
              <a:schemeClr val="accent5">
                <a:lumMod val="80000"/>
                <a:lumOff val="2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'4_1.7_Primary'!$Q$21:$U$21</c:f>
              <c:numCache>
                <c:formatCode>0.00%</c:formatCode>
                <c:ptCount val="5"/>
                <c:pt idx="0">
                  <c:v>0.77612704918032782</c:v>
                </c:pt>
                <c:pt idx="1">
                  <c:v>0.87456819216452886</c:v>
                </c:pt>
                <c:pt idx="2">
                  <c:v>0.66425481714510426</c:v>
                </c:pt>
                <c:pt idx="3">
                  <c:v>0.76804639072185565</c:v>
                </c:pt>
                <c:pt idx="4">
                  <c:v>0.80278716216216217</c:v>
                </c:pt>
              </c:numCache>
            </c:numRef>
          </c:val>
          <c:extLst>
            <c:ext xmlns:c16="http://schemas.microsoft.com/office/drawing/2014/chart" uri="{C3380CC4-5D6E-409C-BE32-E72D297353CC}">
              <c16:uniqueId val="{00000022-CE44-4944-83AA-461967F04E29}"/>
            </c:ext>
          </c:extLst>
        </c:ser>
        <c:ser>
          <c:idx val="17"/>
          <c:order val="17"/>
          <c:tx>
            <c:strRef>
              <c:f>'4_1.7_Primary'!$P$22</c:f>
              <c:strCache>
                <c:ptCount val="1"/>
                <c:pt idx="0">
                  <c:v>Z00-Z99: Factors influencing health status and contact with health services</c:v>
                </c:pt>
              </c:strCache>
            </c:strRef>
          </c:tx>
          <c:spPr>
            <a:solidFill>
              <a:schemeClr val="accent6">
                <a:lumMod val="80000"/>
                <a:lumOff val="2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'4_1.7_Primary'!$Q$22:$U$22</c:f>
              <c:numCache>
                <c:formatCode>0.00%</c:formatCode>
                <c:ptCount val="5"/>
                <c:pt idx="0">
                  <c:v>5.0204918032786885E-3</c:v>
                </c:pt>
                <c:pt idx="1">
                  <c:v>4.7934017084861951E-3</c:v>
                </c:pt>
                <c:pt idx="2">
                  <c:v>9.9095556429414072E-3</c:v>
                </c:pt>
                <c:pt idx="3">
                  <c:v>6.5986802639472104E-3</c:v>
                </c:pt>
                <c:pt idx="4">
                  <c:v>8.4987331081081089E-3</c:v>
                </c:pt>
              </c:numCache>
            </c:numRef>
          </c:val>
          <c:extLst>
            <c:ext xmlns:c16="http://schemas.microsoft.com/office/drawing/2014/chart" uri="{C3380CC4-5D6E-409C-BE32-E72D297353CC}">
              <c16:uniqueId val="{00000023-CE44-4944-83AA-461967F04E29}"/>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4_1.7b. Out of cases with F as principal and T as secondary, distrubtion of the top 4 mental health categories (all other categories less than &lt;3%)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'4_1.7_Primary'!$P$25</c:f>
              <c:strCache>
                <c:ptCount val="1"/>
                <c:pt idx="0">
                  <c:v>Mental disorders due to known physiological conditions</c:v>
                </c:pt>
              </c:strCache>
            </c:strRef>
          </c:tx>
          <c:spPr>
            <a:solidFill>
              <a:schemeClr val="accent1"/>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'4_1.7_Primary'!$Q$25:$U$25</c:f>
              <c:numCache>
                <c:formatCode>0.00%</c:formatCode>
                <c:ptCount val="5"/>
                <c:pt idx="0">
                  <c:v>1.4598540145985401E-3</c:v>
                </c:pt>
                <c:pt idx="1">
                  <c:v>6.7895247332686714E-3</c:v>
                </c:pt>
                <c:pt idx="2">
                  <c:v>4.3554006968641113E-3</c:v>
                </c:pt>
                <c:pt idx="3">
                  <c:v>0</c:v>
                </c:pt>
                <c:pt idx="4">
                  <c:v>1.2547051442910916E-2</c:v>
                </c:pt>
              </c:numCache>
            </c:numRef>
          </c:val>
          <c:extLst>
            <c:ext xmlns:c16="http://schemas.microsoft.com/office/drawing/2014/chart" uri="{C3380CC4-5D6E-409C-BE32-E72D297353CC}">
              <c16:uniqueId val="{00000000-A50A-45DF-9FC7-161E0056E910}"/>
            </c:ext>
          </c:extLst>
        </c:ser>
        <c:ser>
          <c:idx val="1"/>
          <c:order val="1"/>
          <c:tx>
            <c:strRef>
              <c:f>'4_1.7_Primary'!$P$26</c:f>
              <c:strCache>
                <c:ptCount val="1"/>
                <c:pt idx="0">
                  <c:v>Mental and behavioral disorders due to psychoactive substance use</c:v>
                </c:pt>
              </c:strCache>
            </c:strRef>
          </c:tx>
          <c:spPr>
            <a:solidFill>
              <a:schemeClr val="accent2"/>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'4_1.7_Primary'!$Q$26:$U$26</c:f>
              <c:numCache>
                <c:formatCode>0.00%</c:formatCode>
                <c:ptCount val="5"/>
                <c:pt idx="0">
                  <c:v>0.43065693430656932</c:v>
                </c:pt>
                <c:pt idx="1">
                  <c:v>0.52085354025218233</c:v>
                </c:pt>
                <c:pt idx="2">
                  <c:v>0.45034843205574915</c:v>
                </c:pt>
                <c:pt idx="3">
                  <c:v>0.39297124600638977</c:v>
                </c:pt>
                <c:pt idx="4">
                  <c:v>0.43663739021329989</c:v>
                </c:pt>
              </c:numCache>
            </c:numRef>
          </c:val>
          <c:extLst>
            <c:ext xmlns:c16="http://schemas.microsoft.com/office/drawing/2014/chart" uri="{C3380CC4-5D6E-409C-BE32-E72D297353CC}">
              <c16:uniqueId val="{00000001-A50A-45DF-9FC7-161E0056E910}"/>
            </c:ext>
          </c:extLst>
        </c:ser>
        <c:ser>
          <c:idx val="2"/>
          <c:order val="2"/>
          <c:tx>
            <c:strRef>
              <c:f>'4_1.7_Primary'!$P$27</c:f>
              <c:strCache>
                <c:ptCount val="1"/>
                <c:pt idx="0">
                  <c:v>Schizophrenia, schizotypal, delusional, and other non-mood psychotic disorders</c:v>
                </c:pt>
              </c:strCache>
            </c:strRef>
          </c:tx>
          <c:spPr>
            <a:solidFill>
              <a:schemeClr val="accent3"/>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'4_1.7_Primary'!$Q$27:$U$27</c:f>
              <c:numCache>
                <c:formatCode>0.00%</c:formatCode>
                <c:ptCount val="5"/>
                <c:pt idx="0">
                  <c:v>2.1897810218978103E-2</c:v>
                </c:pt>
                <c:pt idx="1">
                  <c:v>1.842870999030068E-2</c:v>
                </c:pt>
                <c:pt idx="2">
                  <c:v>4.5296167247386762E-2</c:v>
                </c:pt>
                <c:pt idx="3">
                  <c:v>3.8338658146964855E-2</c:v>
                </c:pt>
                <c:pt idx="4">
                  <c:v>2.6348808030112924E-2</c:v>
                </c:pt>
              </c:numCache>
            </c:numRef>
          </c:val>
          <c:extLst>
            <c:ext xmlns:c16="http://schemas.microsoft.com/office/drawing/2014/chart" uri="{C3380CC4-5D6E-409C-BE32-E72D297353CC}">
              <c16:uniqueId val="{00000002-A50A-45DF-9FC7-161E0056E910}"/>
            </c:ext>
          </c:extLst>
        </c:ser>
        <c:ser>
          <c:idx val="3"/>
          <c:order val="3"/>
          <c:tx>
            <c:strRef>
              <c:f>'4_1.7_Primary'!$P$28</c:f>
              <c:strCache>
                <c:ptCount val="1"/>
                <c:pt idx="0">
                  <c:v>Mood [affective] disorders</c:v>
                </c:pt>
              </c:strCache>
            </c:strRef>
          </c:tx>
          <c:spPr>
            <a:solidFill>
              <a:schemeClr val="accent4"/>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'4_1.7_Primary'!$Q$28:$U$28</c:f>
              <c:numCache>
                <c:formatCode>0.00%</c:formatCode>
                <c:ptCount val="5"/>
                <c:pt idx="0">
                  <c:v>0.41459854014598541</c:v>
                </c:pt>
                <c:pt idx="1">
                  <c:v>0.33559650824442289</c:v>
                </c:pt>
                <c:pt idx="2">
                  <c:v>0.39982578397212543</c:v>
                </c:pt>
                <c:pt idx="3">
                  <c:v>0.45686900958466453</c:v>
                </c:pt>
                <c:pt idx="4">
                  <c:v>0.39648682559598497</c:v>
                </c:pt>
              </c:numCache>
            </c:numRef>
          </c:val>
          <c:extLst>
            <c:ext xmlns:c16="http://schemas.microsoft.com/office/drawing/2014/chart" uri="{C3380CC4-5D6E-409C-BE32-E72D297353CC}">
              <c16:uniqueId val="{00000003-A50A-45DF-9FC7-161E0056E910}"/>
            </c:ext>
          </c:extLst>
        </c:ser>
        <c:ser>
          <c:idx val="4"/>
          <c:order val="4"/>
          <c:tx>
            <c:strRef>
              <c:f>'4_1.7_Primary'!$P$29</c:f>
              <c:strCache>
                <c:ptCount val="1"/>
                <c:pt idx="0">
                  <c:v>Anxiety, dissociative, stress-related, somatoform and other nonpsychotic mental disorders</c:v>
                </c:pt>
              </c:strCache>
            </c:strRef>
          </c:tx>
          <c:spPr>
            <a:solidFill>
              <a:schemeClr val="accent5"/>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'4_1.7_Primary'!$Q$29:$U$29</c:f>
              <c:numCache>
                <c:formatCode>0.00%</c:formatCode>
                <c:ptCount val="5"/>
                <c:pt idx="0">
                  <c:v>0.10364963503649635</c:v>
                </c:pt>
                <c:pt idx="1">
                  <c:v>0.1037827352085354</c:v>
                </c:pt>
                <c:pt idx="2">
                  <c:v>7.0557491289198609E-2</c:v>
                </c:pt>
                <c:pt idx="3">
                  <c:v>9.2651757188498399E-2</c:v>
                </c:pt>
                <c:pt idx="4">
                  <c:v>0.11166875784190715</c:v>
                </c:pt>
              </c:numCache>
            </c:numRef>
          </c:val>
          <c:extLst>
            <c:ext xmlns:c16="http://schemas.microsoft.com/office/drawing/2014/chart" uri="{C3380CC4-5D6E-409C-BE32-E72D297353CC}">
              <c16:uniqueId val="{00000004-A50A-45DF-9FC7-161E0056E910}"/>
            </c:ext>
          </c:extLst>
        </c:ser>
        <c:ser>
          <c:idx val="5"/>
          <c:order val="5"/>
          <c:tx>
            <c:strRef>
              <c:f>'4_1.7_Primary'!$P$30</c:f>
              <c:strCache>
                <c:ptCount val="1"/>
                <c:pt idx="0">
                  <c:v>Behavioral syndromes associated with physiological disturbances and physical factors</c:v>
                </c:pt>
              </c:strCache>
            </c:strRef>
          </c:tx>
          <c:spPr>
            <a:solidFill>
              <a:schemeClr val="accent6"/>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'4_1.7_Primary'!$Q$30:$U$30</c:f>
              <c:numCache>
                <c:formatCode>0.00%</c:formatCode>
                <c:ptCount val="5"/>
                <c:pt idx="0">
                  <c:v>4.3795620437956208E-3</c:v>
                </c:pt>
                <c:pt idx="1">
                  <c:v>4.849660523763337E-3</c:v>
                </c:pt>
                <c:pt idx="2">
                  <c:v>8.710801393728223E-4</c:v>
                </c:pt>
                <c:pt idx="3">
                  <c:v>6.3897763578274758E-3</c:v>
                </c:pt>
                <c:pt idx="4">
                  <c:v>0</c:v>
                </c:pt>
              </c:numCache>
            </c:numRef>
          </c:val>
          <c:extLst>
            <c:ext xmlns:c16="http://schemas.microsoft.com/office/drawing/2014/chart" uri="{C3380CC4-5D6E-409C-BE32-E72D297353CC}">
              <c16:uniqueId val="{00000005-A50A-45DF-9FC7-161E0056E910}"/>
            </c:ext>
          </c:extLst>
        </c:ser>
        <c:ser>
          <c:idx val="6"/>
          <c:order val="6"/>
          <c:tx>
            <c:strRef>
              <c:f>'4_1.7_Primary'!$P$31</c:f>
              <c:strCache>
                <c:ptCount val="1"/>
                <c:pt idx="0">
                  <c:v>Disorders of adult personality and behavior</c:v>
                </c:pt>
              </c:strCache>
            </c:strRef>
          </c:tx>
          <c:spPr>
            <a:solidFill>
              <a:schemeClr val="accent1">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'4_1.7_Primary'!$Q$31:$U$31</c:f>
              <c:numCache>
                <c:formatCode>0.00%</c:formatCode>
                <c:ptCount val="5"/>
                <c:pt idx="0">
                  <c:v>8.7591240875912416E-3</c:v>
                </c:pt>
                <c:pt idx="1">
                  <c:v>0</c:v>
                </c:pt>
                <c:pt idx="2">
                  <c:v>4.3554006968641113E-3</c:v>
                </c:pt>
                <c:pt idx="3">
                  <c:v>6.3897763578274758E-3</c:v>
                </c:pt>
                <c:pt idx="4">
                  <c:v>2.509410288582183E-3</c:v>
                </c:pt>
              </c:numCache>
            </c:numRef>
          </c:val>
          <c:extLst>
            <c:ext xmlns:c16="http://schemas.microsoft.com/office/drawing/2014/chart" uri="{C3380CC4-5D6E-409C-BE32-E72D297353CC}">
              <c16:uniqueId val="{00000006-8BBC-7D4A-AA33-806AD1CF9C4A}"/>
            </c:ext>
          </c:extLst>
        </c:ser>
        <c:ser>
          <c:idx val="7"/>
          <c:order val="7"/>
          <c:tx>
            <c:strRef>
              <c:f>'4_1.7_Primary'!$P$32</c:f>
              <c:strCache>
                <c:ptCount val="1"/>
                <c:pt idx="0">
                  <c:v>Behavioral and emotional disorders with onset usually occurring in childhood and adolescence</c:v>
                </c:pt>
              </c:strCache>
            </c:strRef>
          </c:tx>
          <c:spPr>
            <a:solidFill>
              <a:schemeClr val="accent2">
                <a:lumMod val="60000"/>
              </a:schemeClr>
            </a:solidFill>
            <a:ln>
              <a:noFill/>
            </a:ln>
            <a:effectLst/>
          </c:spPr>
          <c:invertIfNegative val="0"/>
          <c:cat>
            <c:strRef>
              <c:f>'4_1.7_Primary'!$Q$4:$U$4</c:f>
              <c:strCache>
                <c:ptCount val="5"/>
                <c:pt idx="0">
                  <c:v>Colorado</c:v>
                </c:pt>
                <c:pt idx="1">
                  <c:v>Kentucky</c:v>
                </c:pt>
                <c:pt idx="2">
                  <c:v>Louisiana</c:v>
                </c:pt>
                <c:pt idx="3">
                  <c:v>New Mexico</c:v>
                </c:pt>
                <c:pt idx="4">
                  <c:v>Tennesee</c:v>
                </c:pt>
              </c:strCache>
            </c:strRef>
          </c:cat>
          <c:val>
            <c:numRef>
              <c:f>'4_1.7_Primary'!$Q$32:$U$32</c:f>
              <c:numCache>
                <c:formatCode>0.00%</c:formatCode>
                <c:ptCount val="5"/>
                <c:pt idx="0">
                  <c:v>1.167883211678832E-2</c:v>
                </c:pt>
                <c:pt idx="1">
                  <c:v>6.7895247332686714E-3</c:v>
                </c:pt>
                <c:pt idx="2">
                  <c:v>1.7421602787456445E-2</c:v>
                </c:pt>
                <c:pt idx="3">
                  <c:v>6.3897763578274758E-3</c:v>
                </c:pt>
                <c:pt idx="4">
                  <c:v>8.7829360100376407E-3</c:v>
                </c:pt>
              </c:numCache>
            </c:numRef>
          </c:val>
          <c:extLst>
            <c:ext xmlns:c16="http://schemas.microsoft.com/office/drawing/2014/chart" uri="{C3380CC4-5D6E-409C-BE32-E72D297353CC}">
              <c16:uniqueId val="{00000007-8BBC-7D4A-AA33-806AD1CF9C4A}"/>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4_1.11: ED discharges with principal diagnosis of drug poisonings where the Individuals Expired (Definition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1"/>
          <c:order val="0"/>
          <c:tx>
            <c:strRef>
              <c:f>'4_1.11_Discharge_Expired'!$A$4</c:f>
              <c:strCache>
                <c:ptCount val="1"/>
                <c:pt idx="0">
                  <c:v>Non-Expired</c:v>
                </c:pt>
              </c:strCache>
            </c:strRef>
          </c:tx>
          <c:spPr>
            <a:solidFill>
              <a:schemeClr val="accent2"/>
            </a:solidFill>
            <a:ln>
              <a:noFill/>
            </a:ln>
            <a:effectLst/>
          </c:spPr>
          <c:invertIfNegative val="0"/>
          <c:cat>
            <c:strRef>
              <c:f>'4_1.11_Discharge_Expired'!$B$2:$F$2</c:f>
              <c:strCache>
                <c:ptCount val="5"/>
                <c:pt idx="0">
                  <c:v>Colorado</c:v>
                </c:pt>
                <c:pt idx="1">
                  <c:v>Kentucky</c:v>
                </c:pt>
                <c:pt idx="2">
                  <c:v>Louisiana</c:v>
                </c:pt>
                <c:pt idx="3">
                  <c:v>New Mexico</c:v>
                </c:pt>
                <c:pt idx="4">
                  <c:v>Tennessee</c:v>
                </c:pt>
              </c:strCache>
            </c:strRef>
          </c:cat>
          <c:val>
            <c:numRef>
              <c:f>'4_1.11_Discharge_Expired'!$B$4:$F$4</c:f>
              <c:numCache>
                <c:formatCode>###########0</c:formatCode>
                <c:ptCount val="5"/>
                <c:pt idx="0">
                  <c:v>7331</c:v>
                </c:pt>
                <c:pt idx="1">
                  <c:v>31889</c:v>
                </c:pt>
                <c:pt idx="2">
                  <c:v>8112</c:v>
                </c:pt>
                <c:pt idx="3" formatCode="General">
                  <c:v>3715</c:v>
                </c:pt>
                <c:pt idx="4">
                  <c:v>14704</c:v>
                </c:pt>
              </c:numCache>
            </c:numRef>
          </c:val>
          <c:extLst>
            <c:ext xmlns:c16="http://schemas.microsoft.com/office/drawing/2014/chart" uri="{C3380CC4-5D6E-409C-BE32-E72D297353CC}">
              <c16:uniqueId val="{00000001-A50A-45DF-9FC7-161E0056E910}"/>
            </c:ext>
          </c:extLst>
        </c:ser>
        <c:ser>
          <c:idx val="0"/>
          <c:order val="1"/>
          <c:tx>
            <c:strRef>
              <c:f>'4_1.11_Discharge_Expired'!$A$3</c:f>
              <c:strCache>
                <c:ptCount val="1"/>
                <c:pt idx="0">
                  <c:v>Expired </c:v>
                </c:pt>
              </c:strCache>
            </c:strRef>
          </c:tx>
          <c:spPr>
            <a:solidFill>
              <a:schemeClr val="accent1"/>
            </a:solidFill>
            <a:ln>
              <a:noFill/>
            </a:ln>
            <a:effectLst/>
          </c:spPr>
          <c:invertIfNegative val="0"/>
          <c:dLbls>
            <c:dLbl>
              <c:idx val="0"/>
              <c:tx>
                <c:rich>
                  <a:bodyPr/>
                  <a:lstStyle/>
                  <a:p>
                    <a:fld id="{50C31C13-A71D-CD4F-8927-9FA7A6615091}" type="CELLRANGE">
                      <a:rPr lang="en-US"/>
                      <a:pPr/>
                      <a:t>[CELLRANGE]</a:t>
                    </a:fld>
                    <a:endParaRPr lang="en-US"/>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5AA-473B-BB3D-5D068A80E516}"/>
                </c:ext>
              </c:extLst>
            </c:dLbl>
            <c:dLbl>
              <c:idx val="1"/>
              <c:tx>
                <c:rich>
                  <a:bodyPr/>
                  <a:lstStyle/>
                  <a:p>
                    <a:fld id="{4C8E2C90-0755-3F41-970B-0E0C16B78D1D}" type="CELLRANGE">
                      <a:rPr lang="en-US"/>
                      <a:pPr/>
                      <a:t>[CELLRANGE]</a:t>
                    </a:fld>
                    <a:endParaRPr lang="en-US"/>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5AA-473B-BB3D-5D068A80E516}"/>
                </c:ext>
              </c:extLst>
            </c:dLbl>
            <c:dLbl>
              <c:idx val="2"/>
              <c:tx>
                <c:rich>
                  <a:bodyPr/>
                  <a:lstStyle/>
                  <a:p>
                    <a:fld id="{062185C4-0B29-2347-A979-6F5CC965E57D}" type="CELLRANGE">
                      <a:rPr lang="en-US"/>
                      <a:pPr/>
                      <a:t>[CELLRANGE]</a:t>
                    </a:fld>
                    <a:endParaRPr lang="en-US"/>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5AA-473B-BB3D-5D068A80E516}"/>
                </c:ext>
              </c:extLst>
            </c:dLbl>
            <c:dLbl>
              <c:idx val="3"/>
              <c:tx>
                <c:rich>
                  <a:bodyPr/>
                  <a:lstStyle/>
                  <a:p>
                    <a:fld id="{FC1C412B-7442-1744-8E7F-A3707174C318}" type="CELLRANGE">
                      <a:rPr lang="en-US"/>
                      <a:pPr/>
                      <a:t>[CELLRANGE]</a:t>
                    </a:fld>
                    <a:endParaRPr lang="en-US"/>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5AA-473B-BB3D-5D068A80E516}"/>
                </c:ext>
              </c:extLst>
            </c:dLbl>
            <c:dLbl>
              <c:idx val="4"/>
              <c:tx>
                <c:rich>
                  <a:bodyPr/>
                  <a:lstStyle/>
                  <a:p>
                    <a:fld id="{0BB4B36C-9333-A94B-998D-CB1E1CF5C83F}" type="CELLRANGE">
                      <a:rPr lang="en-US"/>
                      <a:pPr/>
                      <a:t>[CELLRANGE]</a:t>
                    </a:fld>
                    <a:endParaRPr lang="en-US"/>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5AA-473B-BB3D-5D068A80E51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'4_1.11_Discharge_Expired'!$B$2:$F$2</c:f>
              <c:strCache>
                <c:ptCount val="5"/>
                <c:pt idx="0">
                  <c:v>Colorado</c:v>
                </c:pt>
                <c:pt idx="1">
                  <c:v>Kentucky</c:v>
                </c:pt>
                <c:pt idx="2">
                  <c:v>Louisiana</c:v>
                </c:pt>
                <c:pt idx="3">
                  <c:v>New Mexico</c:v>
                </c:pt>
                <c:pt idx="4">
                  <c:v>Tennessee</c:v>
                </c:pt>
              </c:strCache>
            </c:strRef>
          </c:cat>
          <c:val>
            <c:numRef>
              <c:f>'4_1.11_Discharge_Expired'!$B$3:$F$3</c:f>
              <c:numCache>
                <c:formatCode>###########0</c:formatCode>
                <c:ptCount val="5"/>
                <c:pt idx="0">
                  <c:v>3</c:v>
                </c:pt>
                <c:pt idx="1">
                  <c:v>70</c:v>
                </c:pt>
                <c:pt idx="2">
                  <c:v>62</c:v>
                </c:pt>
                <c:pt idx="3" formatCode="General">
                  <c:v>24</c:v>
                </c:pt>
                <c:pt idx="4" formatCode="General">
                  <c:v>18</c:v>
                </c:pt>
              </c:numCache>
            </c:numRef>
          </c:val>
          <c:extLst>
            <c:ext xmlns:c15="http://schemas.microsoft.com/office/drawing/2012/chart" uri="{02D57815-91ED-43cb-92C2-25804820EDAC}">
              <c15:datalabelsRange>
                <c15:f>'4_1.11_Discharge_Expired'!$B$6:$F$6</c15:f>
                <c15:dlblRangeCache>
                  <c:ptCount val="5"/>
                  <c:pt idx="0">
                    <c:v>0.0%</c:v>
                  </c:pt>
                  <c:pt idx="1">
                    <c:v>0.2%</c:v>
                  </c:pt>
                  <c:pt idx="2">
                    <c:v>0.8%</c:v>
                  </c:pt>
                  <c:pt idx="3">
                    <c:v>0.6%</c:v>
                  </c:pt>
                  <c:pt idx="4">
                    <c:v>0.1%</c:v>
                  </c:pt>
                </c15:dlblRangeCache>
              </c15:datalabelsRange>
            </c:ext>
            <c:ext xmlns:c16="http://schemas.microsoft.com/office/drawing/2014/chart" uri="{C3380CC4-5D6E-409C-BE32-E72D297353CC}">
              <c16:uniqueId val="{00000000-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4_1.9a. Frequency of type of encounter, Any Mention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'4_1.9_Any_Mention'!$P$4</c:f>
              <c:strCache>
                <c:ptCount val="1"/>
                <c:pt idx="0">
                  <c:v>A: initial encounter</c:v>
                </c:pt>
              </c:strCache>
            </c:strRef>
          </c:tx>
          <c:spPr>
            <a:solidFill>
              <a:schemeClr val="accent1"/>
            </a:solidFill>
            <a:ln>
              <a:noFill/>
            </a:ln>
            <a:effectLst/>
          </c:spPr>
          <c:invertIfNegative val="0"/>
          <c:cat>
            <c:strRef>
              <c:f>'4_1.9_Any_Mention'!$Q$3:$U$3</c:f>
              <c:strCache>
                <c:ptCount val="5"/>
                <c:pt idx="0">
                  <c:v>Colorado</c:v>
                </c:pt>
                <c:pt idx="1">
                  <c:v>Kentucky</c:v>
                </c:pt>
                <c:pt idx="2">
                  <c:v>Louisiana</c:v>
                </c:pt>
                <c:pt idx="3">
                  <c:v>New Mexico</c:v>
                </c:pt>
                <c:pt idx="4">
                  <c:v>Tennessee</c:v>
                </c:pt>
              </c:strCache>
            </c:strRef>
          </c:cat>
          <c:val>
            <c:numRef>
              <c:f>'4_1.9_Any_Mention'!$Q$4:$U$4</c:f>
              <c:numCache>
                <c:formatCode>0.00%</c:formatCode>
                <c:ptCount val="5"/>
                <c:pt idx="0">
                  <c:v>0.9932460301093009</c:v>
                </c:pt>
                <c:pt idx="1">
                  <c:v>0.9955402450006432</c:v>
                </c:pt>
                <c:pt idx="2">
                  <c:v>0.99804424886933141</c:v>
                </c:pt>
                <c:pt idx="3">
                  <c:v>0.79249146757679179</c:v>
                </c:pt>
                <c:pt idx="4">
                  <c:v>0.9953487121578749</c:v>
                </c:pt>
              </c:numCache>
            </c:numRef>
          </c:val>
          <c:extLst>
            <c:ext xmlns:c16="http://schemas.microsoft.com/office/drawing/2014/chart" uri="{C3380CC4-5D6E-409C-BE32-E72D297353CC}">
              <c16:uniqueId val="{00000000-A50A-45DF-9FC7-161E0056E910}"/>
            </c:ext>
          </c:extLst>
        </c:ser>
        <c:ser>
          <c:idx val="1"/>
          <c:order val="1"/>
          <c:tx>
            <c:strRef>
              <c:f>'4_1.9_Any_Mention'!$P$5</c:f>
              <c:strCache>
                <c:ptCount val="1"/>
                <c:pt idx="0">
                  <c:v>D: subsequential encounter</c:v>
                </c:pt>
              </c:strCache>
            </c:strRef>
          </c:tx>
          <c:spPr>
            <a:solidFill>
              <a:schemeClr val="accent2"/>
            </a:solidFill>
            <a:ln>
              <a:noFill/>
            </a:ln>
            <a:effectLst/>
          </c:spPr>
          <c:invertIfNegative val="0"/>
          <c:cat>
            <c:strRef>
              <c:f>'4_1.9_Any_Mention'!$Q$3:$U$3</c:f>
              <c:strCache>
                <c:ptCount val="5"/>
                <c:pt idx="0">
                  <c:v>Colorado</c:v>
                </c:pt>
                <c:pt idx="1">
                  <c:v>Kentucky</c:v>
                </c:pt>
                <c:pt idx="2">
                  <c:v>Louisiana</c:v>
                </c:pt>
                <c:pt idx="3">
                  <c:v>New Mexico</c:v>
                </c:pt>
                <c:pt idx="4">
                  <c:v>Tennessee</c:v>
                </c:pt>
              </c:strCache>
            </c:strRef>
          </c:cat>
          <c:val>
            <c:numRef>
              <c:f>'4_1.9_Any_Mention'!$Q$5:$U$5</c:f>
              <c:numCache>
                <c:formatCode>0.00%</c:formatCode>
                <c:ptCount val="5"/>
                <c:pt idx="0">
                  <c:v>4.6916890080428951E-3</c:v>
                </c:pt>
                <c:pt idx="1">
                  <c:v>2.1012307208507839E-3</c:v>
                </c:pt>
                <c:pt idx="2">
                  <c:v>1.1001100110011001E-3</c:v>
                </c:pt>
                <c:pt idx="3">
                  <c:v>3.1854379977246873E-3</c:v>
                </c:pt>
                <c:pt idx="4">
                  <c:v>2.177770608162607E-3</c:v>
                </c:pt>
              </c:numCache>
            </c:numRef>
          </c:val>
          <c:extLst>
            <c:ext xmlns:c16="http://schemas.microsoft.com/office/drawing/2014/chart" uri="{C3380CC4-5D6E-409C-BE32-E72D297353CC}">
              <c16:uniqueId val="{00000001-A50A-45DF-9FC7-161E0056E910}"/>
            </c:ext>
          </c:extLst>
        </c:ser>
        <c:ser>
          <c:idx val="2"/>
          <c:order val="2"/>
          <c:tx>
            <c:strRef>
              <c:f>'4_1.9_Any_Mention'!$P$6</c:f>
              <c:strCache>
                <c:ptCount val="1"/>
                <c:pt idx="0">
                  <c:v>S: sequela</c:v>
                </c:pt>
              </c:strCache>
            </c:strRef>
          </c:tx>
          <c:spPr>
            <a:solidFill>
              <a:schemeClr val="accent3"/>
            </a:solidFill>
            <a:ln>
              <a:noFill/>
            </a:ln>
            <a:effectLst/>
          </c:spPr>
          <c:invertIfNegative val="0"/>
          <c:cat>
            <c:strRef>
              <c:f>'4_1.9_Any_Mention'!$Q$3:$U$3</c:f>
              <c:strCache>
                <c:ptCount val="5"/>
                <c:pt idx="0">
                  <c:v>Colorado</c:v>
                </c:pt>
                <c:pt idx="1">
                  <c:v>Kentucky</c:v>
                </c:pt>
                <c:pt idx="2">
                  <c:v>Louisiana</c:v>
                </c:pt>
                <c:pt idx="3">
                  <c:v>New Mexico</c:v>
                </c:pt>
                <c:pt idx="4">
                  <c:v>Tennessee</c:v>
                </c:pt>
              </c:strCache>
            </c:strRef>
          </c:cat>
          <c:val>
            <c:numRef>
              <c:f>'4_1.9_Any_Mention'!$Q$6:$U$6</c:f>
              <c:numCache>
                <c:formatCode>0.00%</c:formatCode>
                <c:ptCount val="5"/>
                <c:pt idx="0">
                  <c:v>2.0107238605898124E-3</c:v>
                </c:pt>
                <c:pt idx="1">
                  <c:v>1.7724667305135866E-3</c:v>
                </c:pt>
                <c:pt idx="2">
                  <c:v>8.5564111966752229E-4</c:v>
                </c:pt>
                <c:pt idx="3">
                  <c:v>4.0197193780811529E-3</c:v>
                </c:pt>
                <c:pt idx="4">
                  <c:v>2.4466311770715708E-3</c:v>
                </c:pt>
              </c:numCache>
            </c:numRef>
          </c:val>
          <c:extLst>
            <c:ext xmlns:c16="http://schemas.microsoft.com/office/drawing/2014/chart" uri="{C3380CC4-5D6E-409C-BE32-E72D297353CC}">
              <c16:uniqueId val="{00000002-A50A-45DF-9FC7-161E0056E910}"/>
            </c:ext>
          </c:extLst>
        </c:ser>
        <c:ser>
          <c:idx val="3"/>
          <c:order val="3"/>
          <c:tx>
            <c:strRef>
              <c:f>'4_1.9_Any_Mention'!$P$7</c:f>
              <c:strCache>
                <c:ptCount val="1"/>
                <c:pt idx="0">
                  <c:v>Missing</c:v>
                </c:pt>
              </c:strCache>
            </c:strRef>
          </c:tx>
          <c:spPr>
            <a:solidFill>
              <a:schemeClr val="accent4"/>
            </a:solidFill>
            <a:ln>
              <a:noFill/>
            </a:ln>
            <a:effectLst/>
          </c:spPr>
          <c:invertIfNegative val="0"/>
          <c:cat>
            <c:strRef>
              <c:f>'4_1.9_Any_Mention'!$Q$3:$U$3</c:f>
              <c:strCache>
                <c:ptCount val="5"/>
                <c:pt idx="0">
                  <c:v>Colorado</c:v>
                </c:pt>
                <c:pt idx="1">
                  <c:v>Kentucky</c:v>
                </c:pt>
                <c:pt idx="2">
                  <c:v>Louisiana</c:v>
                </c:pt>
                <c:pt idx="3">
                  <c:v>New Mexico</c:v>
                </c:pt>
                <c:pt idx="4">
                  <c:v>Tennessee</c:v>
                </c:pt>
              </c:strCache>
            </c:strRef>
          </c:cat>
          <c:val>
            <c:numRef>
              <c:f>'4_1.9_Any_Mention'!$Q$7:$U$7</c:f>
              <c:numCache>
                <c:formatCode>0.00%</c:formatCode>
                <c:ptCount val="5"/>
                <c:pt idx="0">
                  <c:v>5.1557022066405446E-5</c:v>
                </c:pt>
                <c:pt idx="1">
                  <c:v>5.8605754799239556E-4</c:v>
                </c:pt>
                <c:pt idx="2">
                  <c:v>0</c:v>
                </c:pt>
                <c:pt idx="3">
                  <c:v>0.20030337504740234</c:v>
                </c:pt>
                <c:pt idx="4">
                  <c:v>2.6886056890896382E-5</c:v>
                </c:pt>
              </c:numCache>
            </c:numRef>
          </c:val>
          <c:extLst>
            <c:ext xmlns:c16="http://schemas.microsoft.com/office/drawing/2014/chart" uri="{C3380CC4-5D6E-409C-BE32-E72D297353CC}">
              <c16:uniqueId val="{00000003-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4_9b. Frequency of intent, Any Mention of Drugs poisonings (Definition 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'4_1.9_Any_Mention'!$P$14</c:f>
              <c:strCache>
                <c:ptCount val="1"/>
                <c:pt idx="0">
                  <c:v>1 Unintentional</c:v>
                </c:pt>
              </c:strCache>
            </c:strRef>
          </c:tx>
          <c:spPr>
            <a:solidFill>
              <a:schemeClr val="accent1"/>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'4_1.9_Any_Mention'!$Q$14:$U$14</c:f>
              <c:numCache>
                <c:formatCode>0.00%</c:formatCode>
                <c:ptCount val="5"/>
                <c:pt idx="0">
                  <c:v>0.25618684264796865</c:v>
                </c:pt>
                <c:pt idx="1">
                  <c:v>0.40702411412398692</c:v>
                </c:pt>
                <c:pt idx="2">
                  <c:v>0.20784013919278729</c:v>
                </c:pt>
                <c:pt idx="3">
                  <c:v>0.22161547212741753</c:v>
                </c:pt>
                <c:pt idx="4">
                  <c:v>0.31881486261224928</c:v>
                </c:pt>
              </c:numCache>
            </c:numRef>
          </c:val>
          <c:extLst>
            <c:ext xmlns:c16="http://schemas.microsoft.com/office/drawing/2014/chart" uri="{C3380CC4-5D6E-409C-BE32-E72D297353CC}">
              <c16:uniqueId val="{00000000-A50A-45DF-9FC7-161E0056E910}"/>
            </c:ext>
          </c:extLst>
        </c:ser>
        <c:ser>
          <c:idx val="1"/>
          <c:order val="1"/>
          <c:tx>
            <c:strRef>
              <c:f>'4_1.9_Any_Mention'!$P$15</c:f>
              <c:strCache>
                <c:ptCount val="1"/>
                <c:pt idx="0">
                  <c:v>2 Self-Harm</c:v>
                </c:pt>
              </c:strCache>
            </c:strRef>
          </c:tx>
          <c:spPr>
            <a:solidFill>
              <a:schemeClr val="accent2"/>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'4_1.9_Any_Mention'!$Q$15:$U$15</c:f>
              <c:numCache>
                <c:formatCode>0.00%</c:formatCode>
                <c:ptCount val="5"/>
                <c:pt idx="0">
                  <c:v>0.17642812951123943</c:v>
                </c:pt>
                <c:pt idx="1">
                  <c:v>9.0295744650438117E-2</c:v>
                </c:pt>
                <c:pt idx="2">
                  <c:v>8.3357498747792164E-2</c:v>
                </c:pt>
                <c:pt idx="3">
                  <c:v>0.11626848691695107</c:v>
                </c:pt>
                <c:pt idx="4">
                  <c:v>0.14841103403774802</c:v>
                </c:pt>
              </c:numCache>
            </c:numRef>
          </c:val>
          <c:extLst>
            <c:ext xmlns:c16="http://schemas.microsoft.com/office/drawing/2014/chart" uri="{C3380CC4-5D6E-409C-BE32-E72D297353CC}">
              <c16:uniqueId val="{00000001-A50A-45DF-9FC7-161E0056E910}"/>
            </c:ext>
          </c:extLst>
        </c:ser>
        <c:ser>
          <c:idx val="2"/>
          <c:order val="2"/>
          <c:tx>
            <c:strRef>
              <c:f>'4_1.9_Any_Mention'!$P$16</c:f>
              <c:strCache>
                <c:ptCount val="1"/>
                <c:pt idx="0">
                  <c:v>3 Assault</c:v>
                </c:pt>
              </c:strCache>
            </c:strRef>
          </c:tx>
          <c:spPr>
            <a:solidFill>
              <a:schemeClr val="accent3"/>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'4_1.9_Any_Mention'!$Q$16:$U$16</c:f>
              <c:numCache>
                <c:formatCode>0.00%</c:formatCode>
                <c:ptCount val="5"/>
                <c:pt idx="0">
                  <c:v>1.5982676840585687E-3</c:v>
                </c:pt>
                <c:pt idx="1">
                  <c:v>1.2007032690575909E-3</c:v>
                </c:pt>
                <c:pt idx="2">
                  <c:v>8.6995492051775494E-4</c:v>
                </c:pt>
                <c:pt idx="3">
                  <c:v>1.2893439514599925E-3</c:v>
                </c:pt>
                <c:pt idx="4">
                  <c:v>1.5056191858901973E-3</c:v>
                </c:pt>
              </c:numCache>
            </c:numRef>
          </c:val>
          <c:extLst>
            <c:ext xmlns:c16="http://schemas.microsoft.com/office/drawing/2014/chart" uri="{C3380CC4-5D6E-409C-BE32-E72D297353CC}">
              <c16:uniqueId val="{00000002-A50A-45DF-9FC7-161E0056E910}"/>
            </c:ext>
          </c:extLst>
        </c:ser>
        <c:ser>
          <c:idx val="3"/>
          <c:order val="3"/>
          <c:tx>
            <c:strRef>
              <c:f>'4_1.9_Any_Mention'!$P$17</c:f>
              <c:strCache>
                <c:ptCount val="1"/>
                <c:pt idx="0">
                  <c:v>4 Undetermined</c:v>
                </c:pt>
              </c:strCache>
            </c:strRef>
          </c:tx>
          <c:spPr>
            <a:solidFill>
              <a:schemeClr val="accent4"/>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'4_1.9_Any_Mention'!$Q$17:$U$17</c:f>
              <c:numCache>
                <c:formatCode>0.00%</c:formatCode>
                <c:ptCount val="5"/>
                <c:pt idx="0">
                  <c:v>3.4749432872757273E-2</c:v>
                </c:pt>
                <c:pt idx="1">
                  <c:v>2.1040895381580639E-2</c:v>
                </c:pt>
                <c:pt idx="2">
                  <c:v>1.7240924788442781E-2</c:v>
                </c:pt>
                <c:pt idx="3">
                  <c:v>1.7064846416382253E-2</c:v>
                </c:pt>
                <c:pt idx="4">
                  <c:v>1.9761251814808839E-2</c:v>
                </c:pt>
              </c:numCache>
            </c:numRef>
          </c:val>
          <c:extLst>
            <c:ext xmlns:c16="http://schemas.microsoft.com/office/drawing/2014/chart" uri="{C3380CC4-5D6E-409C-BE32-E72D297353CC}">
              <c16:uniqueId val="{00000003-A50A-45DF-9FC7-161E0056E910}"/>
            </c:ext>
          </c:extLst>
        </c:ser>
        <c:ser>
          <c:idx val="4"/>
          <c:order val="4"/>
          <c:tx>
            <c:strRef>
              <c:f>'4_1.9_Any_Mention'!$P$18</c:f>
              <c:strCache>
                <c:ptCount val="1"/>
                <c:pt idx="0">
                  <c:v>5 Adverse Effect</c:v>
                </c:pt>
              </c:strCache>
            </c:strRef>
          </c:tx>
          <c:spPr>
            <a:solidFill>
              <a:schemeClr val="accent5"/>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'4_1.9_Any_Mention'!$Q$18:$U$18</c:f>
              <c:numCache>
                <c:formatCode>0.00%</c:formatCode>
                <c:ptCount val="5"/>
                <c:pt idx="0">
                  <c:v>0.48937925345432048</c:v>
                </c:pt>
                <c:pt idx="1">
                  <c:v>0.46282822796209211</c:v>
                </c:pt>
                <c:pt idx="2">
                  <c:v>0.66765085809189884</c:v>
                </c:pt>
                <c:pt idx="3">
                  <c:v>0.42343572241183164</c:v>
                </c:pt>
                <c:pt idx="4">
                  <c:v>0.49464967467871163</c:v>
                </c:pt>
              </c:numCache>
            </c:numRef>
          </c:val>
          <c:extLst>
            <c:ext xmlns:c16="http://schemas.microsoft.com/office/drawing/2014/chart" uri="{C3380CC4-5D6E-409C-BE32-E72D297353CC}">
              <c16:uniqueId val="{00000004-A50A-45DF-9FC7-161E0056E910}"/>
            </c:ext>
          </c:extLst>
        </c:ser>
        <c:ser>
          <c:idx val="5"/>
          <c:order val="5"/>
          <c:tx>
            <c:strRef>
              <c:f>'4_1.9_Any_Mention'!$P$19</c:f>
              <c:strCache>
                <c:ptCount val="1"/>
                <c:pt idx="0">
                  <c:v>6 Underdose</c:v>
                </c:pt>
              </c:strCache>
            </c:strRef>
          </c:tx>
          <c:spPr>
            <a:solidFill>
              <a:schemeClr val="accent6"/>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'4_1.9_Any_Mention'!$Q$19:$U$19</c:f>
              <c:numCache>
                <c:formatCode>0.00%</c:formatCode>
                <c:ptCount val="5"/>
                <c:pt idx="0">
                  <c:v>4.1658073829655598E-2</c:v>
                </c:pt>
                <c:pt idx="1">
                  <c:v>1.7610314612844666E-2</c:v>
                </c:pt>
                <c:pt idx="2">
                  <c:v>2.3040624258561147E-2</c:v>
                </c:pt>
                <c:pt idx="3">
                  <c:v>2.3056503602578687E-2</c:v>
                </c:pt>
                <c:pt idx="4">
                  <c:v>1.6857557670592032E-2</c:v>
                </c:pt>
              </c:numCache>
            </c:numRef>
          </c:val>
          <c:extLst>
            <c:ext xmlns:c16="http://schemas.microsoft.com/office/drawing/2014/chart" uri="{C3380CC4-5D6E-409C-BE32-E72D297353CC}">
              <c16:uniqueId val="{00000005-A50A-45DF-9FC7-161E0056E910}"/>
            </c:ext>
          </c:extLst>
        </c:ser>
        <c:ser>
          <c:idx val="6"/>
          <c:order val="6"/>
          <c:tx>
            <c:strRef>
              <c:f>'4_1.9_Any_Mention'!$P$20</c:f>
              <c:strCache>
                <c:ptCount val="1"/>
                <c:pt idx="0">
                  <c:v>Missing</c:v>
                </c:pt>
              </c:strCache>
            </c:strRef>
          </c:tx>
          <c:spPr>
            <a:solidFill>
              <a:schemeClr val="accent1">
                <a:lumMod val="60000"/>
              </a:schemeClr>
            </a:solidFill>
            <a:ln>
              <a:noFill/>
            </a:ln>
            <a:effectLst/>
          </c:spPr>
          <c:invertIfNegative val="0"/>
          <c:cat>
            <c:strRef>
              <c:f>'4_1.9_Any_Mention'!$Q$13:$U$13</c:f>
              <c:strCache>
                <c:ptCount val="5"/>
                <c:pt idx="0">
                  <c:v>Colorado</c:v>
                </c:pt>
                <c:pt idx="1">
                  <c:v>Kentucky</c:v>
                </c:pt>
                <c:pt idx="2">
                  <c:v>Louisiana</c:v>
                </c:pt>
                <c:pt idx="3">
                  <c:v>New Mexico</c:v>
                </c:pt>
                <c:pt idx="4">
                  <c:v>Tennessee</c:v>
                </c:pt>
              </c:strCache>
            </c:strRef>
          </c:cat>
          <c:val>
            <c:numRef>
              <c:f>'4_1.9_Any_Mention'!$Q$20:$U$20</c:f>
              <c:numCache>
                <c:formatCode>0.00%</c:formatCode>
                <c:ptCount val="5"/>
                <c:pt idx="0">
                  <c:v>0</c:v>
                </c:pt>
                <c:pt idx="1">
                  <c:v>0</c:v>
                </c:pt>
                <c:pt idx="2">
                  <c:v>0</c:v>
                </c:pt>
                <c:pt idx="3">
                  <c:v>0.19726962457337885</c:v>
                </c:pt>
                <c:pt idx="4">
                  <c:v>0</c:v>
                </c:pt>
              </c:numCache>
            </c:numRef>
          </c:val>
          <c:extLst>
            <c:ext xmlns:c16="http://schemas.microsoft.com/office/drawing/2014/chart" uri="{C3380CC4-5D6E-409C-BE32-E72D297353CC}">
              <c16:uniqueId val="{00000006-3523-C14C-BA5F-7E3F2DD28B57}"/>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Indicator 4_2.3.1 - Opioids, By Quarter</a:t>
            </a:r>
          </a:p>
        </c:rich>
      </c:tx>
      <c:overlay val="0"/>
    </c:title>
    <c:autoTitleDeleted val="0"/>
    <c:plotArea>
      <c:layout/>
      <c:barChart>
        <c:barDir val="col"/>
        <c:grouping val="percentStacked"/>
        <c:varyColors val="0"/>
        <c:ser>
          <c:idx val="0"/>
          <c:order val="0"/>
          <c:tx>
            <c:strRef>
              <c:f>'4_2.3_Graphs-Drug_by_Quarte (2)'!$C$2</c:f>
              <c:strCache>
                <c:ptCount val="1"/>
                <c:pt idx="0">
                  <c:v>No Adverse Effects</c:v>
                </c:pt>
              </c:strCache>
            </c:strRef>
          </c:tx>
          <c:invertIfNegative val="0"/>
          <c:cat>
            <c:multiLvlStrRef>
              <c:f>'4_2.3_Graphs-Drug_by_Quarte (2)'!$A$3:$B$16</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(2)'!$C$3:$C$16</c:f>
              <c:numCache>
                <c:formatCode>###,###,##0</c:formatCode>
                <c:ptCount val="14"/>
                <c:pt idx="0">
                  <c:v>377</c:v>
                </c:pt>
                <c:pt idx="1">
                  <c:v>497</c:v>
                </c:pt>
                <c:pt idx="2">
                  <c:v>496</c:v>
                </c:pt>
                <c:pt idx="3">
                  <c:v>431</c:v>
                </c:pt>
                <c:pt idx="5">
                  <c:v>1227</c:v>
                </c:pt>
                <c:pt idx="6">
                  <c:v>1499</c:v>
                </c:pt>
                <c:pt idx="7">
                  <c:v>1884</c:v>
                </c:pt>
                <c:pt idx="8">
                  <c:v>1545</c:v>
                </c:pt>
                <c:pt idx="10">
                  <c:v>363</c:v>
                </c:pt>
                <c:pt idx="11">
                  <c:v>392</c:v>
                </c:pt>
                <c:pt idx="12">
                  <c:v>324</c:v>
                </c:pt>
                <c:pt idx="13">
                  <c:v>387</c:v>
                </c:pt>
              </c:numCache>
            </c:numRef>
          </c:val>
          <c:extLst>
            <c:ext xmlns:c16="http://schemas.microsoft.com/office/drawing/2014/chart" uri="{C3380CC4-5D6E-409C-BE32-E72D297353CC}">
              <c16:uniqueId val="{00000000-285B-4754-A4B3-FA1F7E0A92FF}"/>
            </c:ext>
          </c:extLst>
        </c:ser>
        <c:ser>
          <c:idx val="1"/>
          <c:order val="1"/>
          <c:tx>
            <c:strRef>
              <c:f>'4_2.3_Graphs-Drug_by_Quarte (2)'!$D$2</c:f>
              <c:strCache>
                <c:ptCount val="1"/>
                <c:pt idx="0">
                  <c:v>Adverse Effects</c:v>
                </c:pt>
              </c:strCache>
            </c:strRef>
          </c:tx>
          <c:invertIfNegative val="0"/>
          <c:cat>
            <c:multiLvlStrRef>
              <c:f>'4_2.3_Graphs-Drug_by_Quarte (2)'!$A$3:$B$16</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(2)'!$D$3:$D$16</c:f>
              <c:numCache>
                <c:formatCode>###,###,##0</c:formatCode>
                <c:ptCount val="14"/>
                <c:pt idx="0">
                  <c:v>671</c:v>
                </c:pt>
                <c:pt idx="1">
                  <c:v>795</c:v>
                </c:pt>
                <c:pt idx="2">
                  <c:v>823</c:v>
                </c:pt>
                <c:pt idx="3">
                  <c:v>733</c:v>
                </c:pt>
                <c:pt idx="5">
                  <c:v>1431</c:v>
                </c:pt>
                <c:pt idx="6">
                  <c:v>1737</c:v>
                </c:pt>
                <c:pt idx="7">
                  <c:v>2119</c:v>
                </c:pt>
                <c:pt idx="8">
                  <c:v>1777</c:v>
                </c:pt>
                <c:pt idx="10">
                  <c:v>488</c:v>
                </c:pt>
                <c:pt idx="11">
                  <c:v>536</c:v>
                </c:pt>
                <c:pt idx="12">
                  <c:v>453</c:v>
                </c:pt>
                <c:pt idx="13">
                  <c:v>528</c:v>
                </c:pt>
              </c:numCache>
            </c:numRef>
          </c:val>
          <c:extLst>
            <c:ext xmlns:c16="http://schemas.microsoft.com/office/drawing/2014/chart" uri="{C3380CC4-5D6E-409C-BE32-E72D297353CC}">
              <c16:uniqueId val="{00000001-285B-4754-A4B3-FA1F7E0A92FF}"/>
            </c:ext>
          </c:extLst>
        </c:ser>
        <c:ser>
          <c:idx val="2"/>
          <c:order val="2"/>
          <c:tx>
            <c:strRef>
              <c:f>'4_2.3_Graphs-Drug_by_Quarte (2)'!$E$2</c:f>
              <c:strCache>
                <c:ptCount val="1"/>
                <c:pt idx="0">
                  <c:v>Behavioral Health</c:v>
                </c:pt>
              </c:strCache>
            </c:strRef>
          </c:tx>
          <c:invertIfNegative val="0"/>
          <c:cat>
            <c:multiLvlStrRef>
              <c:f>'4_2.3_Graphs-Drug_by_Quarte (2)'!$A$3:$B$16</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(2)'!$E$3:$E$16</c:f>
              <c:numCache>
                <c:formatCode>###,###,##0</c:formatCode>
                <c:ptCount val="14"/>
                <c:pt idx="0">
                  <c:v>2809</c:v>
                </c:pt>
                <c:pt idx="1">
                  <c:v>3273</c:v>
                </c:pt>
                <c:pt idx="2">
                  <c:v>3433</c:v>
                </c:pt>
                <c:pt idx="3">
                  <c:v>2852</c:v>
                </c:pt>
                <c:pt idx="5">
                  <c:v>3564</c:v>
                </c:pt>
                <c:pt idx="6">
                  <c:v>4296</c:v>
                </c:pt>
                <c:pt idx="7">
                  <c:v>4770</c:v>
                </c:pt>
                <c:pt idx="8">
                  <c:v>4164</c:v>
                </c:pt>
                <c:pt idx="10">
                  <c:v>2118</c:v>
                </c:pt>
                <c:pt idx="11">
                  <c:v>2357</c:v>
                </c:pt>
                <c:pt idx="12">
                  <c:v>2288</c:v>
                </c:pt>
                <c:pt idx="13">
                  <c:v>2240</c:v>
                </c:pt>
              </c:numCache>
            </c:numRef>
          </c:val>
          <c:extLst>
            <c:ext xmlns:c16="http://schemas.microsoft.com/office/drawing/2014/chart" uri="{C3380CC4-5D6E-409C-BE32-E72D297353CC}">
              <c16:uniqueId val="{00000002-285B-4754-A4B3-FA1F7E0A92FF}"/>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 and Quarter</a:t>
                </a:r>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800" b="1" i="0" baseline="0">
                <a:effectLst/>
              </a:rPr>
              <a:t>Indicator 4_2.3.1a - Opioids excluding heroin, By Quarter, with and w/o adverse effects</a:t>
            </a:r>
            <a:endParaRPr lang="en-US">
              <a:effectLst/>
            </a:endParaRPr>
          </a:p>
        </c:rich>
      </c:tx>
      <c:overlay val="0"/>
    </c:title>
    <c:autoTitleDeleted val="0"/>
    <c:plotArea>
      <c:layout/>
      <c:barChart>
        <c:barDir val="col"/>
        <c:grouping val="percentStacked"/>
        <c:varyColors val="0"/>
        <c:ser>
          <c:idx val="0"/>
          <c:order val="0"/>
          <c:tx>
            <c:strRef>
              <c:f>'4_2.3_Graphs-Drug_by_Quarte (2)'!$C$23</c:f>
              <c:strCache>
                <c:ptCount val="1"/>
                <c:pt idx="0">
                  <c:v>No Adverse Effects</c:v>
                </c:pt>
              </c:strCache>
            </c:strRef>
          </c:tx>
          <c:invertIfNegative val="0"/>
          <c:cat>
            <c:multiLvlStrRef>
              <c:f>'4_2.3_Graphs-Drug_by_Quarte (2)'!$A$24:$B$37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(2)'!$C$24:$C$37</c:f>
              <c:numCache>
                <c:formatCode>###,###,##0</c:formatCode>
                <c:ptCount val="14"/>
                <c:pt idx="0">
                  <c:v>223</c:v>
                </c:pt>
                <c:pt idx="1">
                  <c:v>297</c:v>
                </c:pt>
                <c:pt idx="2">
                  <c:v>274</c:v>
                </c:pt>
                <c:pt idx="3">
                  <c:v>238</c:v>
                </c:pt>
                <c:pt idx="5">
                  <c:v>339</c:v>
                </c:pt>
                <c:pt idx="6">
                  <c:v>374</c:v>
                </c:pt>
                <c:pt idx="7">
                  <c:v>456</c:v>
                </c:pt>
                <c:pt idx="8">
                  <c:v>385</c:v>
                </c:pt>
                <c:pt idx="10">
                  <c:v>210</c:v>
                </c:pt>
                <c:pt idx="11">
                  <c:v>203</c:v>
                </c:pt>
                <c:pt idx="12">
                  <c:v>174</c:v>
                </c:pt>
                <c:pt idx="13">
                  <c:v>205</c:v>
                </c:pt>
              </c:numCache>
            </c:numRef>
          </c:val>
          <c:extLst>
            <c:ext xmlns:c16="http://schemas.microsoft.com/office/drawing/2014/chart" uri="{C3380CC4-5D6E-409C-BE32-E72D297353CC}">
              <c16:uniqueId val="{00000000-A613-4817-9A95-013DD3DEF7F3}"/>
            </c:ext>
          </c:extLst>
        </c:ser>
        <c:ser>
          <c:idx val="1"/>
          <c:order val="1"/>
          <c:tx>
            <c:strRef>
              <c:f>'4_2.3_Graphs-Drug_by_Quarte (2)'!$D$23</c:f>
              <c:strCache>
                <c:ptCount val="1"/>
                <c:pt idx="0">
                  <c:v>Adverse Effects</c:v>
                </c:pt>
              </c:strCache>
            </c:strRef>
          </c:tx>
          <c:invertIfNegative val="0"/>
          <c:cat>
            <c:multiLvlStrRef>
              <c:f>'4_2.3_Graphs-Drug_by_Quarte (2)'!$A$24:$B$37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(2)'!$D$24:$D$37</c:f>
              <c:numCache>
                <c:formatCode>###,###,##0</c:formatCode>
                <c:ptCount val="14"/>
                <c:pt idx="0">
                  <c:v>486</c:v>
                </c:pt>
                <c:pt idx="1">
                  <c:v>556</c:v>
                </c:pt>
                <c:pt idx="2">
                  <c:v>557</c:v>
                </c:pt>
                <c:pt idx="3">
                  <c:v>508</c:v>
                </c:pt>
                <c:pt idx="5">
                  <c:v>495</c:v>
                </c:pt>
                <c:pt idx="6">
                  <c:v>565</c:v>
                </c:pt>
                <c:pt idx="7">
                  <c:v>656</c:v>
                </c:pt>
                <c:pt idx="8">
                  <c:v>579</c:v>
                </c:pt>
                <c:pt idx="10">
                  <c:v>306</c:v>
                </c:pt>
                <c:pt idx="11">
                  <c:v>311</c:v>
                </c:pt>
                <c:pt idx="12">
                  <c:v>266</c:v>
                </c:pt>
                <c:pt idx="13">
                  <c:v>321</c:v>
                </c:pt>
              </c:numCache>
            </c:numRef>
          </c:val>
          <c:extLst>
            <c:ext xmlns:c16="http://schemas.microsoft.com/office/drawing/2014/chart" uri="{C3380CC4-5D6E-409C-BE32-E72D297353CC}">
              <c16:uniqueId val="{00000001-A613-4817-9A95-013DD3DEF7F3}"/>
            </c:ext>
          </c:extLst>
        </c:ser>
        <c:dLbls>
          <c:showLegendKey val="0"/>
          <c:showVal val="0"/>
          <c:showCatName val="0"/>
          <c:showSerName val="0"/>
          <c:showPercent val="0"/>
          <c:showBubbleSize val="0"/>
        </c:dLbls>
        <c:gapWidth val="25"/>
        <c:overlap val="100"/>
        <c:axId val="252956032"/>
        <c:axId val="252957824"/>
        <c:extLst>
          <c:ext xmlns:c15="http://schemas.microsoft.com/office/drawing/2012/chart" uri="{02D57815-91ED-43cb-92C2-25804820EDAC}">
            <c15:filteredBarSeries>
              <c15:ser>
                <c:idx val="2"/>
                <c:order val="2"/>
                <c:tx>
                  <c:strRef>
                    <c:extLst>
                      <c:ext uri="{02D57815-91ED-43cb-92C2-25804820EDAC}">
                        <c15:formulaRef>
                          <c15:sqref>'4_2.3_Graphs-Drug_by_Quarte (2)'!$E$23</c15:sqref>
                        </c15:formulaRef>
                      </c:ext>
                    </c:extLst>
                    <c:strCache>
                      <c:ptCount val="1"/>
                      <c:pt idx="0">
                        <c:v>No Adverse Effects</c:v>
                      </c:pt>
                    </c:strCache>
                  </c:strRef>
                </c:tx>
                <c:invertIfNegative val="0"/>
                <c:cat>
                  <c:multiLvlStrRef>
                    <c:extLst>
                      <c:ex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c:ext uri="{02D57815-91ED-43cb-92C2-25804820EDAC}">
                        <c15:formulaRef>
                          <c15:sqref>'4_2.3_Graphs-Drug_by_Quarte (2)'!$E$24:$E$37</c15:sqref>
                        </c15:formulaRef>
                      </c:ext>
                    </c:extLst>
                    <c:numCache>
                      <c:formatCode>###,###,##0</c:formatCode>
                      <c:ptCount val="14"/>
                      <c:pt idx="0">
                        <c:v>1</c:v>
                      </c:pt>
                      <c:pt idx="1">
                        <c:v>3</c:v>
                      </c:pt>
                      <c:pt idx="2">
                        <c:v>2</c:v>
                      </c:pt>
                      <c:pt idx="3">
                        <c:v>2</c:v>
                      </c:pt>
                      <c:pt idx="5">
                        <c:v>12</c:v>
                      </c:pt>
                      <c:pt idx="6">
                        <c:v>0</c:v>
                      </c:pt>
                      <c:pt idx="7">
                        <c:v>7</c:v>
                      </c:pt>
                      <c:pt idx="8">
                        <c:v>8</c:v>
                      </c:pt>
                      <c:pt idx="10">
                        <c:v>4</c:v>
                      </c:pt>
                      <c:pt idx="11">
                        <c:v>3</c:v>
                      </c:pt>
                      <c:pt idx="12">
                        <c:v>5</c:v>
                      </c:pt>
                      <c:pt idx="13">
                        <c:v>4</c:v>
                      </c:pt>
                    </c:numCache>
                  </c:numRef>
                </c:val>
                <c:extLst>
                  <c:ext xmlns:c16="http://schemas.microsoft.com/office/drawing/2014/chart" uri="{C3380CC4-5D6E-409C-BE32-E72D297353CC}">
                    <c16:uniqueId val="{00000002-A613-4817-9A95-013DD3DEF7F3}"/>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'4_2.3_Graphs-Drug_by_Quarte (2)'!$F$23</c15:sqref>
                        </c15:formulaRef>
                      </c:ext>
                    </c:extLst>
                    <c:strCache>
                      <c:ptCount val="1"/>
                      <c:pt idx="0">
                        <c:v>Adverse Effects</c:v>
                      </c:pt>
                    </c:strCache>
                  </c:strRef>
                </c:tx>
                <c:invertIfNegative val="0"/>
                <c:cat>
                  <c:multiLvlStrRef>
                    <c:extLst xmlns:c15="http://schemas.microsoft.com/office/drawing/2012/chart">
                      <c:ext xmlns:c15="http://schemas.microsoft.com/office/drawing/2012/char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xmlns:c15="http://schemas.microsoft.com/office/drawing/2012/chart">
                      <c:ext xmlns:c15="http://schemas.microsoft.com/office/drawing/2012/chart" uri="{02D57815-91ED-43cb-92C2-25804820EDAC}">
                        <c15:formulaRef>
                          <c15:sqref>'4_2.3_Graphs-Drug_by_Quarte (2)'!$F$24:$F$37</c15:sqref>
                        </c15:formulaRef>
                      </c:ext>
                    </c:extLst>
                    <c:numCache>
                      <c:formatCode>###,###,##0</c:formatCode>
                      <c:ptCount val="14"/>
                      <c:pt idx="0">
                        <c:v>1</c:v>
                      </c:pt>
                      <c:pt idx="1">
                        <c:v>3</c:v>
                      </c:pt>
                      <c:pt idx="2">
                        <c:v>2</c:v>
                      </c:pt>
                      <c:pt idx="3">
                        <c:v>2</c:v>
                      </c:pt>
                      <c:pt idx="5">
                        <c:v>12</c:v>
                      </c:pt>
                      <c:pt idx="6">
                        <c:v>5</c:v>
                      </c:pt>
                      <c:pt idx="7">
                        <c:v>8</c:v>
                      </c:pt>
                      <c:pt idx="8">
                        <c:v>8</c:v>
                      </c:pt>
                      <c:pt idx="10">
                        <c:v>4</c:v>
                      </c:pt>
                      <c:pt idx="11">
                        <c:v>3</c:v>
                      </c:pt>
                      <c:pt idx="12">
                        <c:v>5</c:v>
                      </c:pt>
                      <c:pt idx="13">
                        <c:v>4</c:v>
                      </c:pt>
                    </c:numCache>
                  </c:numRef>
                </c:val>
                <c:extLst xmlns:c15="http://schemas.microsoft.com/office/drawing/2012/chart">
                  <c:ext xmlns:c16="http://schemas.microsoft.com/office/drawing/2014/chart" uri="{C3380CC4-5D6E-409C-BE32-E72D297353CC}">
                    <c16:uniqueId val="{00000003-A613-4817-9A95-013DD3DEF7F3}"/>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'4_2.3_Graphs-Drug_by_Quarte (2)'!$G$23</c15:sqref>
                        </c15:formulaRef>
                      </c:ext>
                    </c:extLst>
                    <c:strCache>
                      <c:ptCount val="1"/>
                      <c:pt idx="0">
                        <c:v>No Adverse Effects</c:v>
                      </c:pt>
                    </c:strCache>
                  </c:strRef>
                </c:tx>
                <c:invertIfNegative val="0"/>
                <c:cat>
                  <c:multiLvlStrRef>
                    <c:extLst xmlns:c15="http://schemas.microsoft.com/office/drawing/2012/chart">
                      <c:ext xmlns:c15="http://schemas.microsoft.com/office/drawing/2012/char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xmlns:c15="http://schemas.microsoft.com/office/drawing/2012/chart">
                      <c:ext xmlns:c15="http://schemas.microsoft.com/office/drawing/2012/chart" uri="{02D57815-91ED-43cb-92C2-25804820EDAC}">
                        <c15:formulaRef>
                          <c15:sqref>'4_2.3_Graphs-Drug_by_Quarte (2)'!$G$24:$G$37</c15:sqref>
                        </c15:formulaRef>
                      </c:ext>
                    </c:extLst>
                    <c:numCache>
                      <c:formatCode>###,###,##0</c:formatCode>
                      <c:ptCount val="14"/>
                      <c:pt idx="0">
                        <c:v>153</c:v>
                      </c:pt>
                      <c:pt idx="1">
                        <c:v>197</c:v>
                      </c:pt>
                      <c:pt idx="2">
                        <c:v>220</c:v>
                      </c:pt>
                      <c:pt idx="3">
                        <c:v>191</c:v>
                      </c:pt>
                      <c:pt idx="5">
                        <c:v>876</c:v>
                      </c:pt>
                      <c:pt idx="6">
                        <c:v>1121</c:v>
                      </c:pt>
                      <c:pt idx="7">
                        <c:v>1421</c:v>
                      </c:pt>
                      <c:pt idx="8">
                        <c:v>1152</c:v>
                      </c:pt>
                      <c:pt idx="10">
                        <c:v>149</c:v>
                      </c:pt>
                      <c:pt idx="11">
                        <c:v>186</c:v>
                      </c:pt>
                      <c:pt idx="12">
                        <c:v>145</c:v>
                      </c:pt>
                      <c:pt idx="13">
                        <c:v>178</c:v>
                      </c:pt>
                    </c:numCache>
                  </c:numRef>
                </c:val>
                <c:extLst xmlns:c15="http://schemas.microsoft.com/office/drawing/2012/chart">
                  <c:ext xmlns:c16="http://schemas.microsoft.com/office/drawing/2014/chart" uri="{C3380CC4-5D6E-409C-BE32-E72D297353CC}">
                    <c16:uniqueId val="{00000004-A613-4817-9A95-013DD3DEF7F3}"/>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'4_2.3_Graphs-Drug_by_Quarte (2)'!$H$23</c15:sqref>
                        </c15:formulaRef>
                      </c:ext>
                    </c:extLst>
                    <c:strCache>
                      <c:ptCount val="1"/>
                      <c:pt idx="0">
                        <c:v>Adverse Effects</c:v>
                      </c:pt>
                    </c:strCache>
                  </c:strRef>
                </c:tx>
                <c:invertIfNegative val="0"/>
                <c:cat>
                  <c:multiLvlStrRef>
                    <c:extLst xmlns:c15="http://schemas.microsoft.com/office/drawing/2012/chart">
                      <c:ext xmlns:c15="http://schemas.microsoft.com/office/drawing/2012/char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xmlns:c15="http://schemas.microsoft.com/office/drawing/2012/chart">
                      <c:ext xmlns:c15="http://schemas.microsoft.com/office/drawing/2012/chart" uri="{02D57815-91ED-43cb-92C2-25804820EDAC}">
                        <c15:formulaRef>
                          <c15:sqref>'4_2.3_Graphs-Drug_by_Quarte (2)'!$H$24:$H$37</c15:sqref>
                        </c15:formulaRef>
                      </c:ext>
                    </c:extLst>
                    <c:numCache>
                      <c:formatCode>###,###,##0</c:formatCode>
                      <c:ptCount val="14"/>
                      <c:pt idx="0">
                        <c:v>153</c:v>
                      </c:pt>
                      <c:pt idx="1">
                        <c:v>197</c:v>
                      </c:pt>
                      <c:pt idx="2">
                        <c:v>220</c:v>
                      </c:pt>
                      <c:pt idx="3">
                        <c:v>191</c:v>
                      </c:pt>
                      <c:pt idx="5">
                        <c:v>876</c:v>
                      </c:pt>
                      <c:pt idx="6">
                        <c:v>1120</c:v>
                      </c:pt>
                      <c:pt idx="7">
                        <c:v>1420</c:v>
                      </c:pt>
                      <c:pt idx="8">
                        <c:v>1152</c:v>
                      </c:pt>
                      <c:pt idx="10">
                        <c:v>149</c:v>
                      </c:pt>
                      <c:pt idx="11">
                        <c:v>186</c:v>
                      </c:pt>
                      <c:pt idx="12">
                        <c:v>145</c:v>
                      </c:pt>
                      <c:pt idx="13">
                        <c:v>178</c:v>
                      </c:pt>
                    </c:numCache>
                  </c:numRef>
                </c:val>
                <c:extLst xmlns:c15="http://schemas.microsoft.com/office/drawing/2012/chart">
                  <c:ext xmlns:c16="http://schemas.microsoft.com/office/drawing/2014/chart" uri="{C3380CC4-5D6E-409C-BE32-E72D297353CC}">
                    <c16:uniqueId val="{00000005-A613-4817-9A95-013DD3DEF7F3}"/>
                  </c:ext>
                </c:extLst>
              </c15:ser>
            </c15:filteredBarSeries>
          </c:ext>
        </c:extLst>
      </c:barChart>
      <c:catAx>
        <c:axId val="252956032"/>
        <c:scaling>
          <c:orientation val="minMax"/>
        </c:scaling>
        <c:delete val="0"/>
        <c:axPos val="b"/>
        <c:title>
          <c:tx>
            <c:rich>
              <a:bodyPr/>
              <a:lstStyle/>
              <a:p>
                <a:pPr>
                  <a:defRPr/>
                </a:pPr>
                <a:r>
                  <a:rPr lang="en-US"/>
                  <a:t>State</a:t>
                </a:r>
                <a:r>
                  <a:rPr lang="en-US" baseline="0"/>
                  <a:t> and Quarter</a:t>
                </a:r>
                <a:endParaRPr lang="en-US"/>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Indicator 4_2.3.2 - Cannabis, By Quarter</a:t>
            </a:r>
          </a:p>
        </c:rich>
      </c:tx>
      <c:overlay val="0"/>
    </c:title>
    <c:autoTitleDeleted val="0"/>
    <c:plotArea>
      <c:layout/>
      <c:barChart>
        <c:barDir val="col"/>
        <c:grouping val="percentStacked"/>
        <c:varyColors val="0"/>
        <c:ser>
          <c:idx val="0"/>
          <c:order val="0"/>
          <c:tx>
            <c:strRef>
              <c:f>'4_2.3_Graphs-Drug_by_Quarte (2)'!$C$44</c:f>
              <c:strCache>
                <c:ptCount val="1"/>
                <c:pt idx="0">
                  <c:v>No Adverse Effects</c:v>
                </c:pt>
              </c:strCache>
            </c:strRef>
          </c:tx>
          <c:invertIfNegative val="0"/>
          <c:cat>
            <c:multiLvlStrRef>
              <c:f>'4_2.3_Graphs-Drug_by_Quarte (2)'!$A$45:$B$58</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(2)'!$C$45:$C$58</c:f>
              <c:numCache>
                <c:formatCode>###,###,##0</c:formatCode>
                <c:ptCount val="14"/>
                <c:pt idx="0">
                  <c:v>86</c:v>
                </c:pt>
                <c:pt idx="1">
                  <c:v>72</c:v>
                </c:pt>
                <c:pt idx="2">
                  <c:v>72</c:v>
                </c:pt>
                <c:pt idx="3">
                  <c:v>63</c:v>
                </c:pt>
                <c:pt idx="5">
                  <c:v>69</c:v>
                </c:pt>
                <c:pt idx="6">
                  <c:v>51</c:v>
                </c:pt>
                <c:pt idx="7">
                  <c:v>55</c:v>
                </c:pt>
                <c:pt idx="8">
                  <c:v>59</c:v>
                </c:pt>
                <c:pt idx="10">
                  <c:v>18</c:v>
                </c:pt>
                <c:pt idx="11">
                  <c:v>14</c:v>
                </c:pt>
                <c:pt idx="12">
                  <c:v>12</c:v>
                </c:pt>
                <c:pt idx="13">
                  <c:v>24</c:v>
                </c:pt>
              </c:numCache>
            </c:numRef>
          </c:val>
          <c:extLst>
            <c:ext xmlns:c16="http://schemas.microsoft.com/office/drawing/2014/chart" uri="{C3380CC4-5D6E-409C-BE32-E72D297353CC}">
              <c16:uniqueId val="{00000000-9DC2-4261-BF91-DC924072EB1F}"/>
            </c:ext>
          </c:extLst>
        </c:ser>
        <c:ser>
          <c:idx val="1"/>
          <c:order val="1"/>
          <c:tx>
            <c:strRef>
              <c:f>'4_2.3_Graphs-Drug_by_Quarte (2)'!$D$44</c:f>
              <c:strCache>
                <c:ptCount val="1"/>
                <c:pt idx="0">
                  <c:v>Adverse Effects</c:v>
                </c:pt>
              </c:strCache>
            </c:strRef>
          </c:tx>
          <c:invertIfNegative val="0"/>
          <c:cat>
            <c:multiLvlStrRef>
              <c:f>'4_2.3_Graphs-Drug_by_Quarte (2)'!$A$45:$B$58</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(2)'!$D$45:$D$58</c:f>
              <c:numCache>
                <c:formatCode>###,###,##0</c:formatCode>
                <c:ptCount val="14"/>
                <c:pt idx="0">
                  <c:v>128</c:v>
                </c:pt>
                <c:pt idx="1">
                  <c:v>117</c:v>
                </c:pt>
                <c:pt idx="2">
                  <c:v>118</c:v>
                </c:pt>
                <c:pt idx="3">
                  <c:v>113</c:v>
                </c:pt>
                <c:pt idx="5">
                  <c:v>79</c:v>
                </c:pt>
                <c:pt idx="6">
                  <c:v>57</c:v>
                </c:pt>
                <c:pt idx="7">
                  <c:v>69</c:v>
                </c:pt>
                <c:pt idx="8">
                  <c:v>72</c:v>
                </c:pt>
                <c:pt idx="10">
                  <c:v>25</c:v>
                </c:pt>
                <c:pt idx="11">
                  <c:v>22</c:v>
                </c:pt>
                <c:pt idx="12">
                  <c:v>22</c:v>
                </c:pt>
                <c:pt idx="13">
                  <c:v>39</c:v>
                </c:pt>
              </c:numCache>
            </c:numRef>
          </c:val>
          <c:extLst>
            <c:ext xmlns:c16="http://schemas.microsoft.com/office/drawing/2014/chart" uri="{C3380CC4-5D6E-409C-BE32-E72D297353CC}">
              <c16:uniqueId val="{00000001-9DC2-4261-BF91-DC924072EB1F}"/>
            </c:ext>
          </c:extLst>
        </c:ser>
        <c:ser>
          <c:idx val="2"/>
          <c:order val="2"/>
          <c:tx>
            <c:strRef>
              <c:f>'4_2.3_Graphs-Drug_by_Quarte (2)'!$E$44</c:f>
              <c:strCache>
                <c:ptCount val="1"/>
                <c:pt idx="0">
                  <c:v>Behavioral Health</c:v>
                </c:pt>
              </c:strCache>
            </c:strRef>
          </c:tx>
          <c:invertIfNegative val="0"/>
          <c:cat>
            <c:multiLvlStrRef>
              <c:f>'4_2.3_Graphs-Drug_by_Quarte (2)'!$A$45:$B$58</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(2)'!$E$45:$E$58</c:f>
              <c:numCache>
                <c:formatCode>###,###,##0</c:formatCode>
                <c:ptCount val="14"/>
                <c:pt idx="0">
                  <c:v>4361</c:v>
                </c:pt>
                <c:pt idx="1">
                  <c:v>5179</c:v>
                </c:pt>
                <c:pt idx="2">
                  <c:v>4945</c:v>
                </c:pt>
                <c:pt idx="3">
                  <c:v>3993</c:v>
                </c:pt>
                <c:pt idx="5">
                  <c:v>2181</c:v>
                </c:pt>
                <c:pt idx="6">
                  <c:v>2544</c:v>
                </c:pt>
                <c:pt idx="7">
                  <c:v>3017</c:v>
                </c:pt>
                <c:pt idx="8">
                  <c:v>2865</c:v>
                </c:pt>
                <c:pt idx="10">
                  <c:v>1320</c:v>
                </c:pt>
                <c:pt idx="11">
                  <c:v>1436</c:v>
                </c:pt>
                <c:pt idx="12">
                  <c:v>1348</c:v>
                </c:pt>
                <c:pt idx="13">
                  <c:v>1327</c:v>
                </c:pt>
              </c:numCache>
            </c:numRef>
          </c:val>
          <c:extLst>
            <c:ext xmlns:c16="http://schemas.microsoft.com/office/drawing/2014/chart" uri="{C3380CC4-5D6E-409C-BE32-E72D297353CC}">
              <c16:uniqueId val="{00000002-9DC2-4261-BF91-DC924072EB1F}"/>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a:t>
                </a:r>
                <a:r>
                  <a:rPr lang="en-US" baseline="0"/>
                  <a:t> and Quarter</a:t>
                </a:r>
                <a:endParaRPr lang="en-US"/>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Indicator 4_2.3.3 - Ampthetamines, By Quarter</a:t>
            </a:r>
          </a:p>
        </c:rich>
      </c:tx>
      <c:overlay val="0"/>
    </c:title>
    <c:autoTitleDeleted val="0"/>
    <c:plotArea>
      <c:layout/>
      <c:barChart>
        <c:barDir val="col"/>
        <c:grouping val="percentStacked"/>
        <c:varyColors val="0"/>
        <c:ser>
          <c:idx val="0"/>
          <c:order val="0"/>
          <c:tx>
            <c:strRef>
              <c:f>'4_2.3_Graphs-Drug_by_Quarte (2)'!$C$65</c:f>
              <c:strCache>
                <c:ptCount val="1"/>
                <c:pt idx="0">
                  <c:v>No Adverse Effects</c:v>
                </c:pt>
              </c:strCache>
            </c:strRef>
          </c:tx>
          <c:invertIfNegative val="0"/>
          <c:cat>
            <c:multiLvlStrRef>
              <c:f>'4_2.3_Graphs-Drug_by_Quarte (2)'!$A$66:$B$79</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(2)'!$C$66:$C$79</c:f>
              <c:numCache>
                <c:formatCode>###,###,##0</c:formatCode>
                <c:ptCount val="14"/>
                <c:pt idx="0">
                  <c:v>62</c:v>
                </c:pt>
                <c:pt idx="1">
                  <c:v>57</c:v>
                </c:pt>
                <c:pt idx="2">
                  <c:v>70</c:v>
                </c:pt>
                <c:pt idx="3">
                  <c:v>55</c:v>
                </c:pt>
                <c:pt idx="5">
                  <c:v>90</c:v>
                </c:pt>
                <c:pt idx="6">
                  <c:v>111</c:v>
                </c:pt>
                <c:pt idx="7">
                  <c:v>119</c:v>
                </c:pt>
                <c:pt idx="8">
                  <c:v>126</c:v>
                </c:pt>
                <c:pt idx="10">
                  <c:v>53</c:v>
                </c:pt>
                <c:pt idx="11">
                  <c:v>56</c:v>
                </c:pt>
                <c:pt idx="12">
                  <c:v>61</c:v>
                </c:pt>
                <c:pt idx="13">
                  <c:v>55</c:v>
                </c:pt>
              </c:numCache>
            </c:numRef>
          </c:val>
          <c:extLst>
            <c:ext xmlns:c16="http://schemas.microsoft.com/office/drawing/2014/chart" uri="{C3380CC4-5D6E-409C-BE32-E72D297353CC}">
              <c16:uniqueId val="{00000000-87D4-4499-9E32-3ACD4B350CAD}"/>
            </c:ext>
          </c:extLst>
        </c:ser>
        <c:ser>
          <c:idx val="1"/>
          <c:order val="1"/>
          <c:tx>
            <c:strRef>
              <c:f>'4_2.3_Graphs-Drug_by_Quarte (2)'!$D$65</c:f>
              <c:strCache>
                <c:ptCount val="1"/>
                <c:pt idx="0">
                  <c:v>Adverse Effects</c:v>
                </c:pt>
              </c:strCache>
            </c:strRef>
          </c:tx>
          <c:invertIfNegative val="0"/>
          <c:cat>
            <c:multiLvlStrRef>
              <c:f>'4_2.3_Graphs-Drug_by_Quarte (2)'!$A$66:$B$79</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(2)'!$D$66:$D$79</c:f>
              <c:numCache>
                <c:formatCode>###,###,##0</c:formatCode>
                <c:ptCount val="14"/>
                <c:pt idx="0">
                  <c:v>76</c:v>
                </c:pt>
                <c:pt idx="1">
                  <c:v>70</c:v>
                </c:pt>
                <c:pt idx="2">
                  <c:v>86</c:v>
                </c:pt>
                <c:pt idx="3">
                  <c:v>70</c:v>
                </c:pt>
                <c:pt idx="5">
                  <c:v>116</c:v>
                </c:pt>
                <c:pt idx="6">
                  <c:v>134</c:v>
                </c:pt>
                <c:pt idx="7">
                  <c:v>155</c:v>
                </c:pt>
                <c:pt idx="8">
                  <c:v>152</c:v>
                </c:pt>
                <c:pt idx="10">
                  <c:v>63</c:v>
                </c:pt>
                <c:pt idx="11">
                  <c:v>67</c:v>
                </c:pt>
                <c:pt idx="12">
                  <c:v>69</c:v>
                </c:pt>
                <c:pt idx="13">
                  <c:v>65</c:v>
                </c:pt>
              </c:numCache>
            </c:numRef>
          </c:val>
          <c:extLst>
            <c:ext xmlns:c16="http://schemas.microsoft.com/office/drawing/2014/chart" uri="{C3380CC4-5D6E-409C-BE32-E72D297353CC}">
              <c16:uniqueId val="{00000001-87D4-4499-9E32-3ACD4B350CAD}"/>
            </c:ext>
          </c:extLst>
        </c:ser>
        <c:ser>
          <c:idx val="2"/>
          <c:order val="2"/>
          <c:tx>
            <c:strRef>
              <c:f>'4_2.3_Graphs-Drug_by_Quarte (2)'!$E$65</c:f>
              <c:strCache>
                <c:ptCount val="1"/>
                <c:pt idx="0">
                  <c:v>Behavioral Health</c:v>
                </c:pt>
              </c:strCache>
            </c:strRef>
          </c:tx>
          <c:invertIfNegative val="0"/>
          <c:cat>
            <c:multiLvlStrRef>
              <c:f>'4_2.3_Graphs-Drug_by_Quarte (2)'!$A$66:$B$79</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(2)'!$E$66:$E$79</c:f>
              <c:numCache>
                <c:formatCode>###,###,##0</c:formatCode>
                <c:ptCount val="14"/>
                <c:pt idx="0">
                  <c:v>76</c:v>
                </c:pt>
                <c:pt idx="1">
                  <c:v>70</c:v>
                </c:pt>
                <c:pt idx="2">
                  <c:v>86</c:v>
                </c:pt>
                <c:pt idx="3">
                  <c:v>70</c:v>
                </c:pt>
                <c:pt idx="5">
                  <c:v>116</c:v>
                </c:pt>
                <c:pt idx="6">
                  <c:v>134</c:v>
                </c:pt>
                <c:pt idx="7">
                  <c:v>155</c:v>
                </c:pt>
                <c:pt idx="8">
                  <c:v>152</c:v>
                </c:pt>
                <c:pt idx="10">
                  <c:v>63</c:v>
                </c:pt>
                <c:pt idx="11">
                  <c:v>67</c:v>
                </c:pt>
                <c:pt idx="12">
                  <c:v>69</c:v>
                </c:pt>
                <c:pt idx="13">
                  <c:v>65</c:v>
                </c:pt>
              </c:numCache>
            </c:numRef>
          </c:val>
          <c:extLst>
            <c:ext xmlns:c16="http://schemas.microsoft.com/office/drawing/2014/chart" uri="{C3380CC4-5D6E-409C-BE32-E72D297353CC}">
              <c16:uniqueId val="{00000002-87D4-4499-9E32-3ACD4B350CAD}"/>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a:t>
                </a:r>
                <a:r>
                  <a:rPr lang="en-US" baseline="0"/>
                  <a:t> and Quarter</a:t>
                </a:r>
                <a:endParaRPr lang="en-US"/>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Indicator 4_2.3.4 - Cocaine, By Quarter</a:t>
            </a:r>
          </a:p>
        </c:rich>
      </c:tx>
      <c:overlay val="0"/>
    </c:title>
    <c:autoTitleDeleted val="0"/>
    <c:plotArea>
      <c:layout/>
      <c:barChart>
        <c:barDir val="col"/>
        <c:grouping val="percentStacked"/>
        <c:varyColors val="0"/>
        <c:ser>
          <c:idx val="0"/>
          <c:order val="0"/>
          <c:tx>
            <c:strRef>
              <c:f>'4_2.3_Graphs-Drug_by_Quarte (2)'!$C$83</c:f>
              <c:strCache>
                <c:ptCount val="1"/>
                <c:pt idx="0">
                  <c:v>No Adverse Effects</c:v>
                </c:pt>
              </c:strCache>
            </c:strRef>
          </c:tx>
          <c:invertIfNegative val="0"/>
          <c:cat>
            <c:multiLvlStrRef>
              <c:f>'4_2.3_Graphs-Drug_by_Quarte (2)'!$A$84:$B$97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(2)'!$C$84:$C$97</c:f>
              <c:numCache>
                <c:formatCode>###,###,##0</c:formatCode>
                <c:ptCount val="14"/>
                <c:pt idx="0">
                  <c:v>15</c:v>
                </c:pt>
                <c:pt idx="1">
                  <c:v>28</c:v>
                </c:pt>
                <c:pt idx="2">
                  <c:v>27</c:v>
                </c:pt>
                <c:pt idx="3">
                  <c:v>18</c:v>
                </c:pt>
                <c:pt idx="5">
                  <c:v>25</c:v>
                </c:pt>
                <c:pt idx="6">
                  <c:v>30</c:v>
                </c:pt>
                <c:pt idx="7">
                  <c:v>29</c:v>
                </c:pt>
                <c:pt idx="8">
                  <c:v>30</c:v>
                </c:pt>
                <c:pt idx="10">
                  <c:v>20</c:v>
                </c:pt>
                <c:pt idx="11">
                  <c:v>19</c:v>
                </c:pt>
                <c:pt idx="12">
                  <c:v>11</c:v>
                </c:pt>
                <c:pt idx="13">
                  <c:v>10</c:v>
                </c:pt>
              </c:numCache>
            </c:numRef>
          </c:val>
          <c:extLst>
            <c:ext xmlns:c16="http://schemas.microsoft.com/office/drawing/2014/chart" uri="{C3380CC4-5D6E-409C-BE32-E72D297353CC}">
              <c16:uniqueId val="{00000000-5E08-4F65-B12A-78C70151DC9A}"/>
            </c:ext>
          </c:extLst>
        </c:ser>
        <c:ser>
          <c:idx val="1"/>
          <c:order val="1"/>
          <c:tx>
            <c:strRef>
              <c:f>'4_2.3_Graphs-Drug_by_Quarte (2)'!$D$83</c:f>
              <c:strCache>
                <c:ptCount val="1"/>
                <c:pt idx="0">
                  <c:v>Adverse Effects</c:v>
                </c:pt>
              </c:strCache>
            </c:strRef>
          </c:tx>
          <c:invertIfNegative val="0"/>
          <c:cat>
            <c:multiLvlStrRef>
              <c:f>'4_2.3_Graphs-Drug_by_Quarte (2)'!$A$84:$B$97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(2)'!$D$84:$D$97</c:f>
              <c:numCache>
                <c:formatCode>###,###,##0</c:formatCode>
                <c:ptCount val="14"/>
                <c:pt idx="0">
                  <c:v>23</c:v>
                </c:pt>
                <c:pt idx="1">
                  <c:v>33</c:v>
                </c:pt>
                <c:pt idx="2">
                  <c:v>28</c:v>
                </c:pt>
                <c:pt idx="3">
                  <c:v>21</c:v>
                </c:pt>
                <c:pt idx="5">
                  <c:v>29</c:v>
                </c:pt>
                <c:pt idx="6">
                  <c:v>36</c:v>
                </c:pt>
                <c:pt idx="7">
                  <c:v>31</c:v>
                </c:pt>
                <c:pt idx="8">
                  <c:v>34</c:v>
                </c:pt>
                <c:pt idx="10">
                  <c:v>21</c:v>
                </c:pt>
                <c:pt idx="11">
                  <c:v>20</c:v>
                </c:pt>
                <c:pt idx="12">
                  <c:v>14</c:v>
                </c:pt>
                <c:pt idx="13">
                  <c:v>11</c:v>
                </c:pt>
              </c:numCache>
            </c:numRef>
          </c:val>
          <c:extLst>
            <c:ext xmlns:c16="http://schemas.microsoft.com/office/drawing/2014/chart" uri="{C3380CC4-5D6E-409C-BE32-E72D297353CC}">
              <c16:uniqueId val="{00000001-5E08-4F65-B12A-78C70151DC9A}"/>
            </c:ext>
          </c:extLst>
        </c:ser>
        <c:ser>
          <c:idx val="2"/>
          <c:order val="2"/>
          <c:tx>
            <c:strRef>
              <c:f>'4_2.3_Graphs-Drug_by_Quarte (2)'!$E$83</c:f>
              <c:strCache>
                <c:ptCount val="1"/>
                <c:pt idx="0">
                  <c:v>Behavioral Health</c:v>
                </c:pt>
              </c:strCache>
            </c:strRef>
          </c:tx>
          <c:invertIfNegative val="0"/>
          <c:cat>
            <c:multiLvlStrRef>
              <c:f>'4_2.3_Graphs-Drug_by_Quarte (2)'!$A$84:$B$97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(2)'!$E$84:$E$97</c:f>
              <c:numCache>
                <c:formatCode>###,###,##0</c:formatCode>
                <c:ptCount val="14"/>
                <c:pt idx="0">
                  <c:v>753</c:v>
                </c:pt>
                <c:pt idx="1">
                  <c:v>891</c:v>
                </c:pt>
                <c:pt idx="2">
                  <c:v>920</c:v>
                </c:pt>
                <c:pt idx="3">
                  <c:v>861</c:v>
                </c:pt>
                <c:pt idx="5">
                  <c:v>742</c:v>
                </c:pt>
                <c:pt idx="6">
                  <c:v>896</c:v>
                </c:pt>
                <c:pt idx="7">
                  <c:v>1101</c:v>
                </c:pt>
                <c:pt idx="8">
                  <c:v>1035</c:v>
                </c:pt>
                <c:pt idx="10">
                  <c:v>428</c:v>
                </c:pt>
                <c:pt idx="11">
                  <c:v>491</c:v>
                </c:pt>
                <c:pt idx="12">
                  <c:v>481</c:v>
                </c:pt>
                <c:pt idx="13">
                  <c:v>459</c:v>
                </c:pt>
              </c:numCache>
            </c:numRef>
          </c:val>
          <c:extLst>
            <c:ext xmlns:c16="http://schemas.microsoft.com/office/drawing/2014/chart" uri="{C3380CC4-5D6E-409C-BE32-E72D297353CC}">
              <c16:uniqueId val="{00000002-5E08-4F65-B12A-78C70151DC9A}"/>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 and Quarter</a:t>
                </a:r>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Indicator 4_2.3.5- BENZODIAZEPINE, By Quarter</a:t>
            </a:r>
          </a:p>
        </c:rich>
      </c:tx>
      <c:overlay val="0"/>
    </c:title>
    <c:autoTitleDeleted val="0"/>
    <c:plotArea>
      <c:layout/>
      <c:barChart>
        <c:barDir val="col"/>
        <c:grouping val="percentStacked"/>
        <c:varyColors val="0"/>
        <c:ser>
          <c:idx val="0"/>
          <c:order val="0"/>
          <c:tx>
            <c:strRef>
              <c:f>'4_2.3_Graphs-Drug_by_Quarte (2)'!$C$107</c:f>
              <c:strCache>
                <c:ptCount val="1"/>
                <c:pt idx="0">
                  <c:v>No Adverse Effects</c:v>
                </c:pt>
              </c:strCache>
            </c:strRef>
          </c:tx>
          <c:invertIfNegative val="0"/>
          <c:cat>
            <c:multiLvlStrRef>
              <c:f>'4_2.3_Graphs-Drug_by_Quarte (2)'!$A$108:$B$121</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(2)'!$C$108:$C$121</c:f>
              <c:numCache>
                <c:formatCode>###,###,##0</c:formatCode>
                <c:ptCount val="14"/>
                <c:pt idx="0">
                  <c:v>207</c:v>
                </c:pt>
                <c:pt idx="1">
                  <c:v>259</c:v>
                </c:pt>
                <c:pt idx="2">
                  <c:v>252</c:v>
                </c:pt>
                <c:pt idx="3">
                  <c:v>197</c:v>
                </c:pt>
                <c:pt idx="5">
                  <c:v>248</c:v>
                </c:pt>
                <c:pt idx="6">
                  <c:v>271</c:v>
                </c:pt>
                <c:pt idx="7">
                  <c:v>240</c:v>
                </c:pt>
                <c:pt idx="8">
                  <c:v>228</c:v>
                </c:pt>
                <c:pt idx="10">
                  <c:v>127</c:v>
                </c:pt>
                <c:pt idx="11">
                  <c:v>139</c:v>
                </c:pt>
                <c:pt idx="12">
                  <c:v>129</c:v>
                </c:pt>
                <c:pt idx="13">
                  <c:v>136</c:v>
                </c:pt>
              </c:numCache>
            </c:numRef>
          </c:val>
          <c:extLst>
            <c:ext xmlns:c16="http://schemas.microsoft.com/office/drawing/2014/chart" uri="{C3380CC4-5D6E-409C-BE32-E72D297353CC}">
              <c16:uniqueId val="{00000000-1F7D-4478-A4AC-B54388A39253}"/>
            </c:ext>
          </c:extLst>
        </c:ser>
        <c:ser>
          <c:idx val="1"/>
          <c:order val="1"/>
          <c:tx>
            <c:strRef>
              <c:f>'4_2.3_Graphs-Drug_by_Quarte (2)'!$D$107</c:f>
              <c:strCache>
                <c:ptCount val="1"/>
                <c:pt idx="0">
                  <c:v>Adverse Effects</c:v>
                </c:pt>
              </c:strCache>
            </c:strRef>
          </c:tx>
          <c:invertIfNegative val="0"/>
          <c:cat>
            <c:multiLvlStrRef>
              <c:f>'4_2.3_Graphs-Drug_by_Quarte (2)'!$A$108:$B$121</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(2)'!$D$108:$D$121</c:f>
              <c:numCache>
                <c:formatCode>###,###,##0</c:formatCode>
                <c:ptCount val="14"/>
                <c:pt idx="0">
                  <c:v>255</c:v>
                </c:pt>
                <c:pt idx="1">
                  <c:v>319</c:v>
                </c:pt>
                <c:pt idx="2">
                  <c:v>321</c:v>
                </c:pt>
                <c:pt idx="3">
                  <c:v>240</c:v>
                </c:pt>
                <c:pt idx="5">
                  <c:v>296</c:v>
                </c:pt>
                <c:pt idx="6">
                  <c:v>317</c:v>
                </c:pt>
                <c:pt idx="7">
                  <c:v>279</c:v>
                </c:pt>
                <c:pt idx="8">
                  <c:v>265</c:v>
                </c:pt>
                <c:pt idx="10">
                  <c:v>168</c:v>
                </c:pt>
                <c:pt idx="11">
                  <c:v>176</c:v>
                </c:pt>
                <c:pt idx="12">
                  <c:v>164</c:v>
                </c:pt>
                <c:pt idx="13">
                  <c:v>162</c:v>
                </c:pt>
              </c:numCache>
            </c:numRef>
          </c:val>
          <c:extLst>
            <c:ext xmlns:c16="http://schemas.microsoft.com/office/drawing/2014/chart" uri="{C3380CC4-5D6E-409C-BE32-E72D297353CC}">
              <c16:uniqueId val="{00000001-1F7D-4478-A4AC-B54388A39253}"/>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a:t>
                </a:r>
                <a:r>
                  <a:rPr lang="en-US" baseline="0"/>
                  <a:t> and Quarter</a:t>
                </a:r>
                <a:endParaRPr lang="en-US"/>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800" b="1" i="0" baseline="0">
                <a:effectLst/>
              </a:rPr>
              <a:t>Indicator 4_2.3.1b - Heroin, By Quarter, w and w/o adverse effects </a:t>
            </a:r>
            <a:endParaRPr lang="en-US">
              <a:effectLst/>
            </a:endParaRPr>
          </a:p>
        </c:rich>
      </c:tx>
      <c:overlay val="0"/>
    </c:title>
    <c:autoTitleDeleted val="0"/>
    <c:plotArea>
      <c:layout/>
      <c:barChart>
        <c:barDir val="col"/>
        <c:grouping val="percentStacked"/>
        <c:varyColors val="0"/>
        <c:ser>
          <c:idx val="0"/>
          <c:order val="0"/>
          <c:tx>
            <c:strRef>
              <c:f>'4_2.3_Graphs-Drug_by_Quarte (2)'!$G$23</c:f>
              <c:strCache>
                <c:ptCount val="1"/>
                <c:pt idx="0">
                  <c:v>No Adverse Effects</c:v>
                </c:pt>
              </c:strCache>
            </c:strRef>
          </c:tx>
          <c:invertIfNegative val="0"/>
          <c:cat>
            <c:multiLvlStrRef>
              <c:f>'4_2.3_Graphs-Drug_by_Quarte (2)'!$A$24:$B$37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(2)'!$G$24:$G$37</c:f>
              <c:numCache>
                <c:formatCode>###,###,##0</c:formatCode>
                <c:ptCount val="14"/>
                <c:pt idx="0">
                  <c:v>153</c:v>
                </c:pt>
                <c:pt idx="1">
                  <c:v>197</c:v>
                </c:pt>
                <c:pt idx="2">
                  <c:v>220</c:v>
                </c:pt>
                <c:pt idx="3">
                  <c:v>191</c:v>
                </c:pt>
                <c:pt idx="5">
                  <c:v>876</c:v>
                </c:pt>
                <c:pt idx="6">
                  <c:v>1121</c:v>
                </c:pt>
                <c:pt idx="7">
                  <c:v>1421</c:v>
                </c:pt>
                <c:pt idx="8">
                  <c:v>1152</c:v>
                </c:pt>
                <c:pt idx="10">
                  <c:v>149</c:v>
                </c:pt>
                <c:pt idx="11">
                  <c:v>186</c:v>
                </c:pt>
                <c:pt idx="12">
                  <c:v>145</c:v>
                </c:pt>
                <c:pt idx="13">
                  <c:v>178</c:v>
                </c:pt>
              </c:numCache>
            </c:numRef>
          </c:val>
          <c:extLst>
            <c:ext xmlns:c16="http://schemas.microsoft.com/office/drawing/2014/chart" uri="{C3380CC4-5D6E-409C-BE32-E72D297353CC}">
              <c16:uniqueId val="{00000000-24FF-4355-A249-E45D0E657E89}"/>
            </c:ext>
          </c:extLst>
        </c:ser>
        <c:ser>
          <c:idx val="1"/>
          <c:order val="1"/>
          <c:tx>
            <c:strRef>
              <c:f>'4_2.3_Graphs-Drug_by_Quarte (2)'!$H$23</c:f>
              <c:strCache>
                <c:ptCount val="1"/>
                <c:pt idx="0">
                  <c:v>Adverse Effects</c:v>
                </c:pt>
              </c:strCache>
            </c:strRef>
          </c:tx>
          <c:invertIfNegative val="0"/>
          <c:cat>
            <c:multiLvlStrRef>
              <c:f>'4_2.3_Graphs-Drug_by_Quarte (2)'!$A$24:$B$37</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'4_2.3_Graphs-Drug_by_Quarte (2)'!$H$24:$H$37</c:f>
              <c:numCache>
                <c:formatCode>###,###,##0</c:formatCode>
                <c:ptCount val="14"/>
                <c:pt idx="0">
                  <c:v>153</c:v>
                </c:pt>
                <c:pt idx="1">
                  <c:v>197</c:v>
                </c:pt>
                <c:pt idx="2">
                  <c:v>220</c:v>
                </c:pt>
                <c:pt idx="3">
                  <c:v>191</c:v>
                </c:pt>
                <c:pt idx="5">
                  <c:v>876</c:v>
                </c:pt>
                <c:pt idx="6">
                  <c:v>1120</c:v>
                </c:pt>
                <c:pt idx="7">
                  <c:v>1420</c:v>
                </c:pt>
                <c:pt idx="8">
                  <c:v>1152</c:v>
                </c:pt>
                <c:pt idx="10">
                  <c:v>149</c:v>
                </c:pt>
                <c:pt idx="11">
                  <c:v>186</c:v>
                </c:pt>
                <c:pt idx="12">
                  <c:v>145</c:v>
                </c:pt>
                <c:pt idx="13">
                  <c:v>178</c:v>
                </c:pt>
              </c:numCache>
            </c:numRef>
          </c:val>
          <c:extLst>
            <c:ext xmlns:c16="http://schemas.microsoft.com/office/drawing/2014/chart" uri="{C3380CC4-5D6E-409C-BE32-E72D297353CC}">
              <c16:uniqueId val="{00000001-24FF-4355-A249-E45D0E657E89}"/>
            </c:ext>
          </c:extLst>
        </c:ser>
        <c:dLbls>
          <c:showLegendKey val="0"/>
          <c:showVal val="0"/>
          <c:showCatName val="0"/>
          <c:showSerName val="0"/>
          <c:showPercent val="0"/>
          <c:showBubbleSize val="0"/>
        </c:dLbls>
        <c:gapWidth val="25"/>
        <c:overlap val="100"/>
        <c:axId val="252956032"/>
        <c:axId val="252957824"/>
        <c:extLst>
          <c:ext xmlns:c15="http://schemas.microsoft.com/office/drawing/2012/chart" uri="{02D57815-91ED-43cb-92C2-25804820EDAC}">
            <c15:filteredBarSeries>
              <c15:ser>
                <c:idx val="2"/>
                <c:order val="2"/>
                <c:tx>
                  <c:strRef>
                    <c:extLst>
                      <c:ext uri="{02D57815-91ED-43cb-92C2-25804820EDAC}">
                        <c15:formulaRef>
                          <c15:sqref>'4_2.3_Graphs-Drug_by_Quarte (2)'!$E$23</c15:sqref>
                        </c15:formulaRef>
                      </c:ext>
                    </c:extLst>
                    <c:strCache>
                      <c:ptCount val="1"/>
                      <c:pt idx="0">
                        <c:v>No Adverse Effects</c:v>
                      </c:pt>
                    </c:strCache>
                  </c:strRef>
                </c:tx>
                <c:invertIfNegative val="0"/>
                <c:cat>
                  <c:multiLvlStrRef>
                    <c:extLst>
                      <c:ex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c:ext uri="{02D57815-91ED-43cb-92C2-25804820EDAC}">
                        <c15:formulaRef>
                          <c15:sqref>'4_2.3_Graphs-Drug_by_Quarte (2)'!$E$24:$E$37</c15:sqref>
                        </c15:formulaRef>
                      </c:ext>
                    </c:extLst>
                    <c:numCache>
                      <c:formatCode>###,###,##0</c:formatCode>
                      <c:ptCount val="14"/>
                      <c:pt idx="0">
                        <c:v>1</c:v>
                      </c:pt>
                      <c:pt idx="1">
                        <c:v>3</c:v>
                      </c:pt>
                      <c:pt idx="2">
                        <c:v>2</c:v>
                      </c:pt>
                      <c:pt idx="3">
                        <c:v>2</c:v>
                      </c:pt>
                      <c:pt idx="5">
                        <c:v>12</c:v>
                      </c:pt>
                      <c:pt idx="6">
                        <c:v>0</c:v>
                      </c:pt>
                      <c:pt idx="7">
                        <c:v>7</c:v>
                      </c:pt>
                      <c:pt idx="8">
                        <c:v>8</c:v>
                      </c:pt>
                      <c:pt idx="10">
                        <c:v>4</c:v>
                      </c:pt>
                      <c:pt idx="11">
                        <c:v>3</c:v>
                      </c:pt>
                      <c:pt idx="12">
                        <c:v>5</c:v>
                      </c:pt>
                      <c:pt idx="13">
                        <c:v>4</c:v>
                      </c:pt>
                    </c:numCache>
                  </c:numRef>
                </c:val>
                <c:extLst>
                  <c:ext xmlns:c16="http://schemas.microsoft.com/office/drawing/2014/chart" uri="{C3380CC4-5D6E-409C-BE32-E72D297353CC}">
                    <c16:uniqueId val="{00000002-24FF-4355-A249-E45D0E657E8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'4_2.3_Graphs-Drug_by_Quarte (2)'!$F$23</c15:sqref>
                        </c15:formulaRef>
                      </c:ext>
                    </c:extLst>
                    <c:strCache>
                      <c:ptCount val="1"/>
                      <c:pt idx="0">
                        <c:v>Adverse Effects</c:v>
                      </c:pt>
                    </c:strCache>
                  </c:strRef>
                </c:tx>
                <c:invertIfNegative val="0"/>
                <c:cat>
                  <c:multiLvlStrRef>
                    <c:extLst xmlns:c15="http://schemas.microsoft.com/office/drawing/2012/chart">
                      <c:ext xmlns:c15="http://schemas.microsoft.com/office/drawing/2012/char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xmlns:c15="http://schemas.microsoft.com/office/drawing/2012/chart">
                      <c:ext xmlns:c15="http://schemas.microsoft.com/office/drawing/2012/chart" uri="{02D57815-91ED-43cb-92C2-25804820EDAC}">
                        <c15:formulaRef>
                          <c15:sqref>'4_2.3_Graphs-Drug_by_Quarte (2)'!$F$24:$F$37</c15:sqref>
                        </c15:formulaRef>
                      </c:ext>
                    </c:extLst>
                    <c:numCache>
                      <c:formatCode>###,###,##0</c:formatCode>
                      <c:ptCount val="14"/>
                      <c:pt idx="0">
                        <c:v>1</c:v>
                      </c:pt>
                      <c:pt idx="1">
                        <c:v>3</c:v>
                      </c:pt>
                      <c:pt idx="2">
                        <c:v>2</c:v>
                      </c:pt>
                      <c:pt idx="3">
                        <c:v>2</c:v>
                      </c:pt>
                      <c:pt idx="5">
                        <c:v>12</c:v>
                      </c:pt>
                      <c:pt idx="6">
                        <c:v>5</c:v>
                      </c:pt>
                      <c:pt idx="7">
                        <c:v>8</c:v>
                      </c:pt>
                      <c:pt idx="8">
                        <c:v>8</c:v>
                      </c:pt>
                      <c:pt idx="10">
                        <c:v>4</c:v>
                      </c:pt>
                      <c:pt idx="11">
                        <c:v>3</c:v>
                      </c:pt>
                      <c:pt idx="12">
                        <c:v>5</c:v>
                      </c:pt>
                      <c:pt idx="13">
                        <c:v>4</c:v>
                      </c:pt>
                    </c:numCache>
                  </c:numRef>
                </c:val>
                <c:extLst xmlns:c15="http://schemas.microsoft.com/office/drawing/2012/chart">
                  <c:ext xmlns:c16="http://schemas.microsoft.com/office/drawing/2014/chart" uri="{C3380CC4-5D6E-409C-BE32-E72D297353CC}">
                    <c16:uniqueId val="{00000003-24FF-4355-A249-E45D0E657E8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'4_2.3_Graphs-Drug_by_Quarte (2)'!$G$23</c15:sqref>
                        </c15:formulaRef>
                      </c:ext>
                    </c:extLst>
                    <c:strCache>
                      <c:ptCount val="1"/>
                      <c:pt idx="0">
                        <c:v>No Adverse Effects</c:v>
                      </c:pt>
                    </c:strCache>
                  </c:strRef>
                </c:tx>
                <c:invertIfNegative val="0"/>
                <c:cat>
                  <c:multiLvlStrRef>
                    <c:extLst xmlns:c15="http://schemas.microsoft.com/office/drawing/2012/chart">
                      <c:ext xmlns:c15="http://schemas.microsoft.com/office/drawing/2012/char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xmlns:c15="http://schemas.microsoft.com/office/drawing/2012/chart">
                      <c:ext xmlns:c15="http://schemas.microsoft.com/office/drawing/2012/chart" uri="{02D57815-91ED-43cb-92C2-25804820EDAC}">
                        <c15:formulaRef>
                          <c15:sqref>'4_2.3_Graphs-Drug_by_Quarte (2)'!$G$24:$G$37</c15:sqref>
                        </c15:formulaRef>
                      </c:ext>
                    </c:extLst>
                    <c:numCache>
                      <c:formatCode>###,###,##0</c:formatCode>
                      <c:ptCount val="14"/>
                      <c:pt idx="0">
                        <c:v>153</c:v>
                      </c:pt>
                      <c:pt idx="1">
                        <c:v>197</c:v>
                      </c:pt>
                      <c:pt idx="2">
                        <c:v>220</c:v>
                      </c:pt>
                      <c:pt idx="3">
                        <c:v>191</c:v>
                      </c:pt>
                      <c:pt idx="5">
                        <c:v>876</c:v>
                      </c:pt>
                      <c:pt idx="6">
                        <c:v>1121</c:v>
                      </c:pt>
                      <c:pt idx="7">
                        <c:v>1421</c:v>
                      </c:pt>
                      <c:pt idx="8">
                        <c:v>1152</c:v>
                      </c:pt>
                      <c:pt idx="10">
                        <c:v>149</c:v>
                      </c:pt>
                      <c:pt idx="11">
                        <c:v>186</c:v>
                      </c:pt>
                      <c:pt idx="12">
                        <c:v>145</c:v>
                      </c:pt>
                      <c:pt idx="13">
                        <c:v>178</c:v>
                      </c:pt>
                    </c:numCache>
                  </c:numRef>
                </c:val>
                <c:extLst xmlns:c15="http://schemas.microsoft.com/office/drawing/2012/chart">
                  <c:ext xmlns:c16="http://schemas.microsoft.com/office/drawing/2014/chart" uri="{C3380CC4-5D6E-409C-BE32-E72D297353CC}">
                    <c16:uniqueId val="{00000004-24FF-4355-A249-E45D0E657E89}"/>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'4_2.3_Graphs-Drug_by_Quarte (2)'!$H$23</c15:sqref>
                        </c15:formulaRef>
                      </c:ext>
                    </c:extLst>
                    <c:strCache>
                      <c:ptCount val="1"/>
                      <c:pt idx="0">
                        <c:v>Adverse Effects</c:v>
                      </c:pt>
                    </c:strCache>
                  </c:strRef>
                </c:tx>
                <c:invertIfNegative val="0"/>
                <c:cat>
                  <c:multiLvlStrRef>
                    <c:extLst xmlns:c15="http://schemas.microsoft.com/office/drawing/2012/chart">
                      <c:ext xmlns:c15="http://schemas.microsoft.com/office/drawing/2012/chart" uri="{02D57815-91ED-43cb-92C2-25804820EDAC}">
                        <c15:formulaRef>
                          <c15:sqref>'4_2.3_Graphs-Drug_by_Quarte (2)'!$A$24:$B$37</c15:sqref>
                        </c15:formulaRef>
                      </c:ext>
                    </c:extLst>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extLst xmlns:c15="http://schemas.microsoft.com/office/drawing/2012/chart">
                      <c:ext xmlns:c15="http://schemas.microsoft.com/office/drawing/2012/chart" uri="{02D57815-91ED-43cb-92C2-25804820EDAC}">
                        <c15:formulaRef>
                          <c15:sqref>'4_2.3_Graphs-Drug_by_Quarte (2)'!$H$24:$H$37</c15:sqref>
                        </c15:formulaRef>
                      </c:ext>
                    </c:extLst>
                    <c:numCache>
                      <c:formatCode>###,###,##0</c:formatCode>
                      <c:ptCount val="14"/>
                      <c:pt idx="0">
                        <c:v>153</c:v>
                      </c:pt>
                      <c:pt idx="1">
                        <c:v>197</c:v>
                      </c:pt>
                      <c:pt idx="2">
                        <c:v>220</c:v>
                      </c:pt>
                      <c:pt idx="3">
                        <c:v>191</c:v>
                      </c:pt>
                      <c:pt idx="5">
                        <c:v>876</c:v>
                      </c:pt>
                      <c:pt idx="6">
                        <c:v>1120</c:v>
                      </c:pt>
                      <c:pt idx="7">
                        <c:v>1420</c:v>
                      </c:pt>
                      <c:pt idx="8">
                        <c:v>1152</c:v>
                      </c:pt>
                      <c:pt idx="10">
                        <c:v>149</c:v>
                      </c:pt>
                      <c:pt idx="11">
                        <c:v>186</c:v>
                      </c:pt>
                      <c:pt idx="12">
                        <c:v>145</c:v>
                      </c:pt>
                      <c:pt idx="13">
                        <c:v>178</c:v>
                      </c:pt>
                    </c:numCache>
                  </c:numRef>
                </c:val>
                <c:extLst xmlns:c15="http://schemas.microsoft.com/office/drawing/2012/chart">
                  <c:ext xmlns:c16="http://schemas.microsoft.com/office/drawing/2014/chart" uri="{C3380CC4-5D6E-409C-BE32-E72D297353CC}">
                    <c16:uniqueId val="{00000005-24FF-4355-A249-E45D0E657E89}"/>
                  </c:ext>
                </c:extLst>
              </c15:ser>
            </c15:filteredBarSeries>
          </c:ext>
        </c:extLst>
      </c:barChart>
      <c:catAx>
        <c:axId val="252956032"/>
        <c:scaling>
          <c:orientation val="minMax"/>
        </c:scaling>
        <c:delete val="0"/>
        <c:axPos val="b"/>
        <c:title>
          <c:tx>
            <c:rich>
              <a:bodyPr/>
              <a:lstStyle/>
              <a:p>
                <a:pPr>
                  <a:defRPr/>
                </a:pPr>
                <a:r>
                  <a:rPr lang="en-US"/>
                  <a:t>State</a:t>
                </a:r>
                <a:r>
                  <a:rPr lang="en-US" baseline="0"/>
                  <a:t> and Quarter</a:t>
                </a:r>
                <a:endParaRPr lang="en-US"/>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a:t>
            </a:r>
            <a:r>
              <a:rPr lang="en-US" baseline="0"/>
              <a:t> 4_2.3a - </a:t>
            </a:r>
            <a:r>
              <a:rPr lang="en-US"/>
              <a:t>Opioids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'4_2.3_Total_Graphs'!$B$7</c:f>
              <c:strCache>
                <c:ptCount val="1"/>
                <c:pt idx="0">
                  <c:v>Case Definition Drug Overdose = 1</c:v>
                </c:pt>
              </c:strCache>
            </c:strRef>
          </c:tx>
          <c:spPr>
            <a:solidFill>
              <a:schemeClr val="accent1"/>
            </a:solidFill>
            <a:ln>
              <a:noFill/>
            </a:ln>
            <a:effectLst/>
          </c:spPr>
          <c:invertIfNegative val="0"/>
          <c:cat>
            <c:strRef>
              <c:f>'4_2.3_Total_Graphs'!$I$5:$M$5</c:f>
              <c:strCache>
                <c:ptCount val="5"/>
                <c:pt idx="0">
                  <c:v>CO</c:v>
                </c:pt>
                <c:pt idx="1">
                  <c:v>KY</c:v>
                </c:pt>
                <c:pt idx="2">
                  <c:v>LA</c:v>
                </c:pt>
                <c:pt idx="3">
                  <c:v>NM</c:v>
                </c:pt>
                <c:pt idx="4">
                  <c:v>TN</c:v>
                </c:pt>
              </c:strCache>
            </c:strRef>
          </c:cat>
          <c:val>
            <c:numRef>
              <c:f>'4_2.3_Total_Graphs'!$I$7:$M$7</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0-5BB4-9446-8E8B-630A9A9ADF10}"/>
            </c:ext>
          </c:extLst>
        </c:ser>
        <c:ser>
          <c:idx val="1"/>
          <c:order val="1"/>
          <c:tx>
            <c:strRef>
              <c:f>'4_2.3_Total_Graphs'!$B$8</c:f>
              <c:strCache>
                <c:ptCount val="1"/>
                <c:pt idx="0">
                  <c:v>Ratio w Adverse Effect</c:v>
                </c:pt>
              </c:strCache>
            </c:strRef>
          </c:tx>
          <c:spPr>
            <a:solidFill>
              <a:schemeClr val="accent2"/>
            </a:solidFill>
            <a:ln>
              <a:noFill/>
            </a:ln>
            <a:effectLst/>
          </c:spPr>
          <c:invertIfNegative val="0"/>
          <c:cat>
            <c:strRef>
              <c:f>'4_2.3_Total_Graphs'!$I$5:$M$5</c:f>
              <c:strCache>
                <c:ptCount val="5"/>
                <c:pt idx="0">
                  <c:v>CO</c:v>
                </c:pt>
                <c:pt idx="1">
                  <c:v>KY</c:v>
                </c:pt>
                <c:pt idx="2">
                  <c:v>LA</c:v>
                </c:pt>
                <c:pt idx="3">
                  <c:v>NM</c:v>
                </c:pt>
                <c:pt idx="4">
                  <c:v>TN</c:v>
                </c:pt>
              </c:strCache>
            </c:strRef>
          </c:cat>
          <c:val>
            <c:numRef>
              <c:f>'4_2.3_Total_Graphs'!$I$8:$M$8</c:f>
              <c:numCache>
                <c:formatCode>0.0</c:formatCode>
                <c:ptCount val="5"/>
                <c:pt idx="0">
                  <c:v>1.6779566907273737</c:v>
                </c:pt>
                <c:pt idx="1">
                  <c:v>1.1476848090982941</c:v>
                </c:pt>
                <c:pt idx="2">
                  <c:v>1.8082539682539682</c:v>
                </c:pt>
                <c:pt idx="3">
                  <c:v>1.3676671214188267</c:v>
                </c:pt>
                <c:pt idx="4">
                  <c:v>1.3879502000889283</c:v>
                </c:pt>
              </c:numCache>
            </c:numRef>
          </c:val>
          <c:extLst>
            <c:ext xmlns:c16="http://schemas.microsoft.com/office/drawing/2014/chart" uri="{C3380CC4-5D6E-409C-BE32-E72D297353CC}">
              <c16:uniqueId val="{00000001-5BB4-9446-8E8B-630A9A9ADF10}"/>
            </c:ext>
          </c:extLst>
        </c:ser>
        <c:dLbls>
          <c:showLegendKey val="0"/>
          <c:showVal val="0"/>
          <c:showCatName val="0"/>
          <c:showSerName val="0"/>
          <c:showPercent val="0"/>
          <c:showBubbleSize val="0"/>
        </c:dLbls>
        <c:gapWidth val="219"/>
        <c:overlap val="-27"/>
        <c:axId val="866631936"/>
        <c:axId val="866720816"/>
      </c:barChart>
      <c:catAx>
        <c:axId val="866631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6720816"/>
        <c:crosses val="autoZero"/>
        <c:auto val="1"/>
        <c:lblAlgn val="ctr"/>
        <c:lblOffset val="100"/>
        <c:noMultiLvlLbl val="0"/>
      </c:catAx>
      <c:valAx>
        <c:axId val="8667208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66319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4_2.3b - Cannabis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'4_2.3_Total_Graphs'!$B$11</c:f>
              <c:strCache>
                <c:ptCount val="1"/>
                <c:pt idx="0">
                  <c:v>Case Definition Drug Overdose = 1</c:v>
                </c:pt>
              </c:strCache>
            </c:strRef>
          </c:tx>
          <c:spPr>
            <a:solidFill>
              <a:schemeClr val="accent1"/>
            </a:solidFill>
            <a:ln>
              <a:noFill/>
            </a:ln>
            <a:effectLst/>
          </c:spPr>
          <c:invertIfNegative val="0"/>
          <c:cat>
            <c:strRef>
              <c:f>'4_2.3_Total_Graphs'!$I$10:$M$10</c:f>
              <c:strCache>
                <c:ptCount val="5"/>
                <c:pt idx="0">
                  <c:v>CO</c:v>
                </c:pt>
                <c:pt idx="1">
                  <c:v>KY</c:v>
                </c:pt>
                <c:pt idx="2">
                  <c:v>LA</c:v>
                </c:pt>
                <c:pt idx="3">
                  <c:v>NM</c:v>
                </c:pt>
                <c:pt idx="4">
                  <c:v>TN</c:v>
                </c:pt>
              </c:strCache>
            </c:strRef>
          </c:cat>
          <c:val>
            <c:numRef>
              <c:f>'4_2.3_Total_Graphs'!$I$11:$M$11</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0-B8FB-1B46-BCF8-66789B22F164}"/>
            </c:ext>
          </c:extLst>
        </c:ser>
        <c:ser>
          <c:idx val="1"/>
          <c:order val="1"/>
          <c:tx>
            <c:strRef>
              <c:f>'4_2.3_Total_Graphs'!$B$12</c:f>
              <c:strCache>
                <c:ptCount val="1"/>
                <c:pt idx="0">
                  <c:v>Ratio w Adverse Effect</c:v>
                </c:pt>
              </c:strCache>
            </c:strRef>
          </c:tx>
          <c:spPr>
            <a:solidFill>
              <a:schemeClr val="accent2"/>
            </a:solidFill>
            <a:ln>
              <a:noFill/>
            </a:ln>
            <a:effectLst/>
          </c:spPr>
          <c:invertIfNegative val="0"/>
          <c:cat>
            <c:strRef>
              <c:f>'4_2.3_Total_Graphs'!$I$10:$M$10</c:f>
              <c:strCache>
                <c:ptCount val="5"/>
                <c:pt idx="0">
                  <c:v>CO</c:v>
                </c:pt>
                <c:pt idx="1">
                  <c:v>KY</c:v>
                </c:pt>
                <c:pt idx="2">
                  <c:v>LA</c:v>
                </c:pt>
                <c:pt idx="3">
                  <c:v>NM</c:v>
                </c:pt>
                <c:pt idx="4">
                  <c:v>TN</c:v>
                </c:pt>
              </c:strCache>
            </c:strRef>
          </c:cat>
          <c:val>
            <c:numRef>
              <c:f>'4_2.3_Total_Graphs'!$I$12:$M$12</c:f>
              <c:numCache>
                <c:formatCode>0.0</c:formatCode>
                <c:ptCount val="5"/>
                <c:pt idx="0">
                  <c:v>1.6245733788395904</c:v>
                </c:pt>
                <c:pt idx="1">
                  <c:v>1.1837606837606838</c:v>
                </c:pt>
                <c:pt idx="2">
                  <c:v>1.3179012345679013</c:v>
                </c:pt>
                <c:pt idx="3">
                  <c:v>1.588235294117647</c:v>
                </c:pt>
                <c:pt idx="4">
                  <c:v>1.47196261682243</c:v>
                </c:pt>
              </c:numCache>
            </c:numRef>
          </c:val>
          <c:extLst>
            <c:ext xmlns:c16="http://schemas.microsoft.com/office/drawing/2014/chart" uri="{C3380CC4-5D6E-409C-BE32-E72D297353CC}">
              <c16:uniqueId val="{00000001-B8FB-1B46-BCF8-66789B22F164}"/>
            </c:ext>
          </c:extLst>
        </c:ser>
        <c:dLbls>
          <c:showLegendKey val="0"/>
          <c:showVal val="0"/>
          <c:showCatName val="0"/>
          <c:showSerName val="0"/>
          <c:showPercent val="0"/>
          <c:showBubbleSize val="0"/>
        </c:dLbls>
        <c:gapWidth val="219"/>
        <c:overlap val="-27"/>
        <c:axId val="868229344"/>
        <c:axId val="866254176"/>
      </c:barChart>
      <c:catAx>
        <c:axId val="86822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6254176"/>
        <c:crosses val="autoZero"/>
        <c:auto val="1"/>
        <c:lblAlgn val="ctr"/>
        <c:lblOffset val="100"/>
        <c:noMultiLvlLbl val="0"/>
      </c:catAx>
      <c:valAx>
        <c:axId val="86625417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8229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4_2.3c - Amphetamines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'4_2.3_Total_Graphs'!$B$15</c:f>
              <c:strCache>
                <c:ptCount val="1"/>
                <c:pt idx="0">
                  <c:v>Case Definition Drug Overdose = 1</c:v>
                </c:pt>
              </c:strCache>
            </c:strRef>
          </c:tx>
          <c:spPr>
            <a:solidFill>
              <a:schemeClr val="accent1"/>
            </a:solidFill>
            <a:ln>
              <a:noFill/>
            </a:ln>
            <a:effectLst/>
          </c:spPr>
          <c:invertIfNegative val="0"/>
          <c:cat>
            <c:strRef>
              <c:f>'4_2.3_Total_Graphs'!$I$14:$M$14</c:f>
              <c:strCache>
                <c:ptCount val="5"/>
                <c:pt idx="0">
                  <c:v>CO</c:v>
                </c:pt>
                <c:pt idx="1">
                  <c:v>KY</c:v>
                </c:pt>
                <c:pt idx="2">
                  <c:v>LA</c:v>
                </c:pt>
                <c:pt idx="3">
                  <c:v>NM</c:v>
                </c:pt>
                <c:pt idx="4">
                  <c:v>TN</c:v>
                </c:pt>
              </c:strCache>
            </c:strRef>
          </c:cat>
          <c:val>
            <c:numRef>
              <c:f>'4_2.3_Total_Graphs'!$I$15:$M$15</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0-43E2-FC46-BF72-F46A98EBF1F1}"/>
            </c:ext>
          </c:extLst>
        </c:ser>
        <c:ser>
          <c:idx val="1"/>
          <c:order val="1"/>
          <c:tx>
            <c:strRef>
              <c:f>'4_2.3_Total_Graphs'!$B$16</c:f>
              <c:strCache>
                <c:ptCount val="1"/>
                <c:pt idx="0">
                  <c:v>Ratio w Adverse Effect</c:v>
                </c:pt>
              </c:strCache>
            </c:strRef>
          </c:tx>
          <c:spPr>
            <a:solidFill>
              <a:schemeClr val="accent2"/>
            </a:solidFill>
            <a:ln>
              <a:noFill/>
            </a:ln>
            <a:effectLst/>
          </c:spPr>
          <c:invertIfNegative val="0"/>
          <c:cat>
            <c:strRef>
              <c:f>'4_2.3_Total_Graphs'!$I$14:$M$14</c:f>
              <c:strCache>
                <c:ptCount val="5"/>
                <c:pt idx="0">
                  <c:v>CO</c:v>
                </c:pt>
                <c:pt idx="1">
                  <c:v>KY</c:v>
                </c:pt>
                <c:pt idx="2">
                  <c:v>LA</c:v>
                </c:pt>
                <c:pt idx="3">
                  <c:v>NM</c:v>
                </c:pt>
                <c:pt idx="4">
                  <c:v>TN</c:v>
                </c:pt>
              </c:strCache>
            </c:strRef>
          </c:cat>
          <c:val>
            <c:numRef>
              <c:f>'4_2.3_Total_Graphs'!$I$16:$M$16</c:f>
              <c:numCache>
                <c:formatCode>0.0</c:formatCode>
                <c:ptCount val="5"/>
                <c:pt idx="0">
                  <c:v>1.2377049180327868</c:v>
                </c:pt>
                <c:pt idx="1">
                  <c:v>1.2488789237668161</c:v>
                </c:pt>
                <c:pt idx="2">
                  <c:v>1.2975970425138632</c:v>
                </c:pt>
                <c:pt idx="3">
                  <c:v>1.1733333333333333</c:v>
                </c:pt>
                <c:pt idx="4">
                  <c:v>1.3117469879518073</c:v>
                </c:pt>
              </c:numCache>
            </c:numRef>
          </c:val>
          <c:extLst>
            <c:ext xmlns:c16="http://schemas.microsoft.com/office/drawing/2014/chart" uri="{C3380CC4-5D6E-409C-BE32-E72D297353CC}">
              <c16:uniqueId val="{00000001-43E2-FC46-BF72-F46A98EBF1F1}"/>
            </c:ext>
          </c:extLst>
        </c:ser>
        <c:dLbls>
          <c:showLegendKey val="0"/>
          <c:showVal val="0"/>
          <c:showCatName val="0"/>
          <c:showSerName val="0"/>
          <c:showPercent val="0"/>
          <c:showBubbleSize val="0"/>
        </c:dLbls>
        <c:gapWidth val="219"/>
        <c:overlap val="-27"/>
        <c:axId val="868094704"/>
        <c:axId val="868027360"/>
      </c:barChart>
      <c:catAx>
        <c:axId val="868094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8027360"/>
        <c:crosses val="autoZero"/>
        <c:auto val="1"/>
        <c:lblAlgn val="ctr"/>
        <c:lblOffset val="100"/>
        <c:noMultiLvlLbl val="0"/>
      </c:catAx>
      <c:valAx>
        <c:axId val="86802736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8094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4_2.3d - Cocaine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'4_2.3_Total_Graphs'!$B$18</c:f>
              <c:strCache>
                <c:ptCount val="1"/>
                <c:pt idx="0">
                  <c:v>Case Definition Drug Overdose = 1</c:v>
                </c:pt>
              </c:strCache>
            </c:strRef>
          </c:tx>
          <c:spPr>
            <a:solidFill>
              <a:schemeClr val="accent1"/>
            </a:solidFill>
            <a:ln>
              <a:noFill/>
            </a:ln>
            <a:effectLst/>
          </c:spPr>
          <c:invertIfNegative val="0"/>
          <c:cat>
            <c:strRef>
              <c:f>'4_2.3_Total_Graphs'!$I$17:$M$17</c:f>
              <c:strCache>
                <c:ptCount val="5"/>
                <c:pt idx="0">
                  <c:v>CO</c:v>
                </c:pt>
                <c:pt idx="1">
                  <c:v>KY</c:v>
                </c:pt>
                <c:pt idx="2">
                  <c:v>LA</c:v>
                </c:pt>
                <c:pt idx="3">
                  <c:v>NM</c:v>
                </c:pt>
                <c:pt idx="4">
                  <c:v>TN</c:v>
                </c:pt>
              </c:strCache>
            </c:strRef>
          </c:cat>
          <c:val>
            <c:numRef>
              <c:f>'4_2.3_Total_Graphs'!$I$18:$M$18</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0-AA19-374D-9DF0-18604C4D6AE6}"/>
            </c:ext>
          </c:extLst>
        </c:ser>
        <c:ser>
          <c:idx val="1"/>
          <c:order val="1"/>
          <c:tx>
            <c:strRef>
              <c:f>'4_2.3_Total_Graphs'!$B$19</c:f>
              <c:strCache>
                <c:ptCount val="1"/>
                <c:pt idx="0">
                  <c:v>Ratio w Adverse Effect</c:v>
                </c:pt>
              </c:strCache>
            </c:strRef>
          </c:tx>
          <c:spPr>
            <a:solidFill>
              <a:schemeClr val="accent2"/>
            </a:solidFill>
            <a:ln>
              <a:noFill/>
            </a:ln>
            <a:effectLst/>
          </c:spPr>
          <c:invertIfNegative val="0"/>
          <c:cat>
            <c:strRef>
              <c:f>'4_2.3_Total_Graphs'!$I$17:$M$17</c:f>
              <c:strCache>
                <c:ptCount val="5"/>
                <c:pt idx="0">
                  <c:v>CO</c:v>
                </c:pt>
                <c:pt idx="1">
                  <c:v>KY</c:v>
                </c:pt>
                <c:pt idx="2">
                  <c:v>LA</c:v>
                </c:pt>
                <c:pt idx="3">
                  <c:v>NM</c:v>
                </c:pt>
                <c:pt idx="4">
                  <c:v>TN</c:v>
                </c:pt>
              </c:strCache>
            </c:strRef>
          </c:cat>
          <c:val>
            <c:numRef>
              <c:f>'4_2.3_Total_Graphs'!$I$19:$M$19</c:f>
              <c:numCache>
                <c:formatCode>0.0</c:formatCode>
                <c:ptCount val="5"/>
                <c:pt idx="0">
                  <c:v>1.1931818181818181</c:v>
                </c:pt>
                <c:pt idx="1">
                  <c:v>1.1403508771929824</c:v>
                </c:pt>
                <c:pt idx="2">
                  <c:v>1.1458885941644563</c:v>
                </c:pt>
                <c:pt idx="3">
                  <c:v>1.1000000000000001</c:v>
                </c:pt>
                <c:pt idx="4">
                  <c:v>1.1271929824561404</c:v>
                </c:pt>
              </c:numCache>
            </c:numRef>
          </c:val>
          <c:extLst>
            <c:ext xmlns:c16="http://schemas.microsoft.com/office/drawing/2014/chart" uri="{C3380CC4-5D6E-409C-BE32-E72D297353CC}">
              <c16:uniqueId val="{00000001-AA19-374D-9DF0-18604C4D6AE6}"/>
            </c:ext>
          </c:extLst>
        </c:ser>
        <c:dLbls>
          <c:showLegendKey val="0"/>
          <c:showVal val="0"/>
          <c:showCatName val="0"/>
          <c:showSerName val="0"/>
          <c:showPercent val="0"/>
          <c:showBubbleSize val="0"/>
        </c:dLbls>
        <c:gapWidth val="219"/>
        <c:overlap val="-27"/>
        <c:axId val="856719664"/>
        <c:axId val="867604560"/>
      </c:barChart>
      <c:catAx>
        <c:axId val="856719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7604560"/>
        <c:crosses val="autoZero"/>
        <c:auto val="1"/>
        <c:lblAlgn val="ctr"/>
        <c:lblOffset val="100"/>
        <c:noMultiLvlLbl val="0"/>
      </c:catAx>
      <c:valAx>
        <c:axId val="86760456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6719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4_2.3e - Benzodiazepines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'4_2.3_Total_Graphs'!$B$22</c:f>
              <c:strCache>
                <c:ptCount val="1"/>
                <c:pt idx="0">
                  <c:v>Case Definition Drug Overdose = 1</c:v>
                </c:pt>
              </c:strCache>
            </c:strRef>
          </c:tx>
          <c:spPr>
            <a:solidFill>
              <a:schemeClr val="accent1"/>
            </a:solidFill>
            <a:ln>
              <a:noFill/>
            </a:ln>
            <a:effectLst/>
          </c:spPr>
          <c:invertIfNegative val="0"/>
          <c:cat>
            <c:strRef>
              <c:f>'4_2.3_Total_Graphs'!$I$21:$M$21</c:f>
              <c:strCache>
                <c:ptCount val="5"/>
                <c:pt idx="0">
                  <c:v>CO</c:v>
                </c:pt>
                <c:pt idx="1">
                  <c:v>KY</c:v>
                </c:pt>
                <c:pt idx="2">
                  <c:v>LA</c:v>
                </c:pt>
                <c:pt idx="3">
                  <c:v>NM</c:v>
                </c:pt>
                <c:pt idx="4">
                  <c:v>TN</c:v>
                </c:pt>
              </c:strCache>
            </c:strRef>
          </c:cat>
          <c:val>
            <c:numRef>
              <c:f>'4_2.3_Total_Graphs'!$I$22:$M$22</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0-B51F-4E4F-9F32-5A910EEF4357}"/>
            </c:ext>
          </c:extLst>
        </c:ser>
        <c:ser>
          <c:idx val="1"/>
          <c:order val="1"/>
          <c:tx>
            <c:strRef>
              <c:f>'4_2.3_Total_Graphs'!$B$23</c:f>
              <c:strCache>
                <c:ptCount val="1"/>
                <c:pt idx="0">
                  <c:v>Ratio w Adverse Effect</c:v>
                </c:pt>
              </c:strCache>
            </c:strRef>
          </c:tx>
          <c:spPr>
            <a:solidFill>
              <a:schemeClr val="accent2"/>
            </a:solidFill>
            <a:ln>
              <a:noFill/>
            </a:ln>
            <a:effectLst/>
          </c:spPr>
          <c:invertIfNegative val="0"/>
          <c:cat>
            <c:strRef>
              <c:f>'4_2.3_Total_Graphs'!$I$21:$M$21</c:f>
              <c:strCache>
                <c:ptCount val="5"/>
                <c:pt idx="0">
                  <c:v>CO</c:v>
                </c:pt>
                <c:pt idx="1">
                  <c:v>KY</c:v>
                </c:pt>
                <c:pt idx="2">
                  <c:v>LA</c:v>
                </c:pt>
                <c:pt idx="3">
                  <c:v>NM</c:v>
                </c:pt>
                <c:pt idx="4">
                  <c:v>TN</c:v>
                </c:pt>
              </c:strCache>
            </c:strRef>
          </c:cat>
          <c:val>
            <c:numRef>
              <c:f>'4_2.3_Total_Graphs'!$I$23:$M$23</c:f>
              <c:numCache>
                <c:formatCode>0.0</c:formatCode>
                <c:ptCount val="5"/>
                <c:pt idx="0">
                  <c:v>1.2404371584699454</c:v>
                </c:pt>
                <c:pt idx="1">
                  <c:v>1.1722391084093211</c:v>
                </c:pt>
                <c:pt idx="2">
                  <c:v>1.3289902280130292</c:v>
                </c:pt>
                <c:pt idx="3">
                  <c:v>1.2617702448210923</c:v>
                </c:pt>
                <c:pt idx="4">
                  <c:v>1.1764442454097626</c:v>
                </c:pt>
              </c:numCache>
            </c:numRef>
          </c:val>
          <c:extLst>
            <c:ext xmlns:c16="http://schemas.microsoft.com/office/drawing/2014/chart" uri="{C3380CC4-5D6E-409C-BE32-E72D297353CC}">
              <c16:uniqueId val="{00000001-B51F-4E4F-9F32-5A910EEF4357}"/>
            </c:ext>
          </c:extLst>
        </c:ser>
        <c:dLbls>
          <c:showLegendKey val="0"/>
          <c:showVal val="0"/>
          <c:showCatName val="0"/>
          <c:showSerName val="0"/>
          <c:showPercent val="0"/>
          <c:showBubbleSize val="0"/>
        </c:dLbls>
        <c:gapWidth val="219"/>
        <c:overlap val="-27"/>
        <c:axId val="855803680"/>
        <c:axId val="869472816"/>
      </c:barChart>
      <c:catAx>
        <c:axId val="855803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9472816"/>
        <c:crosses val="autoZero"/>
        <c:auto val="1"/>
        <c:lblAlgn val="ctr"/>
        <c:lblOffset val="100"/>
        <c:noMultiLvlLbl val="0"/>
      </c:catAx>
      <c:valAx>
        <c:axId val="8694728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803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Table 2.4a: DDPI / PfS Case Definitions (Initial Encounter and Missing Only), By Quarter</a:t>
            </a:r>
          </a:p>
        </c:rich>
      </c:tx>
      <c:overlay val="0"/>
    </c:title>
    <c:autoTitleDeleted val="0"/>
    <c:plotArea>
      <c:layout/>
      <c:barChart>
        <c:barDir val="col"/>
        <c:grouping val="percentStacked"/>
        <c:varyColors val="0"/>
        <c:ser>
          <c:idx val="0"/>
          <c:order val="0"/>
          <c:tx>
            <c:strRef>
              <c:f>'4_2.4a-c_Graphs-Potential Chang'!$C$1</c:f>
              <c:strCache>
                <c:ptCount val="1"/>
                <c:pt idx="0">
                  <c:v>DDPI / PFS Indicator 2.4.1. Non-Fatal Drug Overdose Hospitalizations</c:v>
                </c:pt>
              </c:strCache>
            </c:strRef>
          </c:tx>
          <c:invertIfNegative val="0"/>
          <c:cat>
            <c:multiLvlStrRef>
              <c:f>'4_2.4a-c_Graphs-Potential Chang'!$A$2:$B$15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'4_2.4a-c_Graphs-Potential Chang'!$C$2:$C$15</c:f>
              <c:numCache>
                <c:formatCode>###,###,##0</c:formatCode>
                <c:ptCount val="14"/>
                <c:pt idx="0">
                  <c:v>2101</c:v>
                </c:pt>
                <c:pt idx="1">
                  <c:v>2338</c:v>
                </c:pt>
                <c:pt idx="2">
                  <c:v>2330</c:v>
                </c:pt>
                <c:pt idx="3">
                  <c:v>2292</c:v>
                </c:pt>
                <c:pt idx="5">
                  <c:v>2875</c:v>
                </c:pt>
                <c:pt idx="6">
                  <c:v>3304</c:v>
                </c:pt>
                <c:pt idx="7">
                  <c:v>3713</c:v>
                </c:pt>
                <c:pt idx="8">
                  <c:v>3228</c:v>
                </c:pt>
                <c:pt idx="10">
                  <c:v>1128</c:v>
                </c:pt>
                <c:pt idx="11">
                  <c:v>1264</c:v>
                </c:pt>
                <c:pt idx="12">
                  <c:v>1140</c:v>
                </c:pt>
                <c:pt idx="13">
                  <c:v>1130</c:v>
                </c:pt>
              </c:numCache>
            </c:numRef>
          </c:val>
          <c:extLst>
            <c:ext xmlns:c16="http://schemas.microsoft.com/office/drawing/2014/chart" uri="{C3380CC4-5D6E-409C-BE32-E72D297353CC}">
              <c16:uniqueId val="{00000000-A809-844F-8A87-85D23180947F}"/>
            </c:ext>
          </c:extLst>
        </c:ser>
        <c:ser>
          <c:idx val="1"/>
          <c:order val="1"/>
          <c:tx>
            <c:strRef>
              <c:f>'4_2.4a-c_Graphs-Potential Chang'!$D$1</c:f>
              <c:strCache>
                <c:ptCount val="1"/>
                <c:pt idx="0">
                  <c:v>DDPI / PFS Indicator 2.4.2. Hospitalizations involving non-fatal opioid overdose excluding
heroin</c:v>
                </c:pt>
              </c:strCache>
            </c:strRef>
          </c:tx>
          <c:invertIfNegative val="0"/>
          <c:cat>
            <c:multiLvlStrRef>
              <c:f>'4_2.4a-c_Graphs-Potential Chang'!$A$2:$B$15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'4_2.4a-c_Graphs-Potential Chang'!$D$2:$D$15</c:f>
              <c:numCache>
                <c:formatCode>###,###,##0</c:formatCode>
                <c:ptCount val="14"/>
                <c:pt idx="0">
                  <c:v>222</c:v>
                </c:pt>
                <c:pt idx="1">
                  <c:v>296</c:v>
                </c:pt>
                <c:pt idx="2">
                  <c:v>273</c:v>
                </c:pt>
                <c:pt idx="3">
                  <c:v>238</c:v>
                </c:pt>
                <c:pt idx="5">
                  <c:v>337</c:v>
                </c:pt>
                <c:pt idx="6">
                  <c:v>368</c:v>
                </c:pt>
                <c:pt idx="7">
                  <c:v>456</c:v>
                </c:pt>
                <c:pt idx="8">
                  <c:v>385</c:v>
                </c:pt>
                <c:pt idx="10">
                  <c:v>207</c:v>
                </c:pt>
                <c:pt idx="11">
                  <c:v>200</c:v>
                </c:pt>
                <c:pt idx="12">
                  <c:v>174</c:v>
                </c:pt>
                <c:pt idx="13">
                  <c:v>204</c:v>
                </c:pt>
              </c:numCache>
            </c:numRef>
          </c:val>
          <c:extLst>
            <c:ext xmlns:c16="http://schemas.microsoft.com/office/drawing/2014/chart" uri="{C3380CC4-5D6E-409C-BE32-E72D297353CC}">
              <c16:uniqueId val="{00000001-A809-844F-8A87-85D23180947F}"/>
            </c:ext>
          </c:extLst>
        </c:ser>
        <c:ser>
          <c:idx val="2"/>
          <c:order val="2"/>
          <c:tx>
            <c:strRef>
              <c:f>'4_2.4a-c_Graphs-Potential Chang'!$E$1</c:f>
              <c:strCache>
                <c:ptCount val="1"/>
                <c:pt idx="0">
                  <c:v>DDPI / PFS Indicator 2.4.3. Hospitalizations involving non-fatal heroin overdose</c:v>
                </c:pt>
              </c:strCache>
            </c:strRef>
          </c:tx>
          <c:invertIfNegative val="0"/>
          <c:cat>
            <c:multiLvlStrRef>
              <c:f>'4_2.4a-c_Graphs-Potential Chang'!$A$2:$B$15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'4_2.4a-c_Graphs-Potential Chang'!$E$2:$E$15</c:f>
              <c:numCache>
                <c:formatCode>###,###,##0</c:formatCode>
                <c:ptCount val="14"/>
                <c:pt idx="0">
                  <c:v>154</c:v>
                </c:pt>
                <c:pt idx="1">
                  <c:v>199</c:v>
                </c:pt>
                <c:pt idx="2">
                  <c:v>221</c:v>
                </c:pt>
                <c:pt idx="3">
                  <c:v>193</c:v>
                </c:pt>
                <c:pt idx="5">
                  <c:v>883</c:v>
                </c:pt>
                <c:pt idx="6">
                  <c:v>1114</c:v>
                </c:pt>
                <c:pt idx="7">
                  <c:v>1416</c:v>
                </c:pt>
                <c:pt idx="8">
                  <c:v>1153</c:v>
                </c:pt>
                <c:pt idx="10">
                  <c:v>149</c:v>
                </c:pt>
                <c:pt idx="11">
                  <c:v>186</c:v>
                </c:pt>
                <c:pt idx="12">
                  <c:v>150</c:v>
                </c:pt>
                <c:pt idx="13">
                  <c:v>182</c:v>
                </c:pt>
              </c:numCache>
            </c:numRef>
          </c:val>
          <c:extLst>
            <c:ext xmlns:c16="http://schemas.microsoft.com/office/drawing/2014/chart" uri="{C3380CC4-5D6E-409C-BE32-E72D297353CC}">
              <c16:uniqueId val="{00000002-A809-844F-8A87-85D23180947F}"/>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 and Quarter</a:t>
                </a:r>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Table 2.4b: DDPI / PfS Case Definitions (Alternative Heroin and Other Opioids), By Quarter</a:t>
            </a:r>
          </a:p>
        </c:rich>
      </c:tx>
      <c:overlay val="0"/>
    </c:title>
    <c:autoTitleDeleted val="0"/>
    <c:plotArea>
      <c:layout/>
      <c:barChart>
        <c:barDir val="col"/>
        <c:grouping val="percentStacked"/>
        <c:varyColors val="0"/>
        <c:ser>
          <c:idx val="0"/>
          <c:order val="0"/>
          <c:tx>
            <c:strRef>
              <c:f>'4_2.4a-c_Graphs-Potential Chang'!$C$20</c:f>
              <c:strCache>
                <c:ptCount val="1"/>
                <c:pt idx="0">
                  <c:v>DDPI / PFS Indicator 2.4.4. Hospitalizations involving heroin alone</c:v>
                </c:pt>
              </c:strCache>
            </c:strRef>
          </c:tx>
          <c:invertIfNegative val="0"/>
          <c:cat>
            <c:multiLvlStrRef>
              <c:f>'4_2.4a-c_Graphs-Potential Chang'!$A$21:$B$34</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'4_2.4a-c_Graphs-Potential Chang'!$C$21:$C$34</c:f>
              <c:numCache>
                <c:formatCode>###,###,##0</c:formatCode>
                <c:ptCount val="14"/>
                <c:pt idx="0">
                  <c:v>153</c:v>
                </c:pt>
                <c:pt idx="1">
                  <c:v>197</c:v>
                </c:pt>
                <c:pt idx="2">
                  <c:v>219</c:v>
                </c:pt>
                <c:pt idx="3">
                  <c:v>191</c:v>
                </c:pt>
                <c:pt idx="5">
                  <c:v>874</c:v>
                </c:pt>
                <c:pt idx="6">
                  <c:v>1111</c:v>
                </c:pt>
                <c:pt idx="7">
                  <c:v>1409</c:v>
                </c:pt>
                <c:pt idx="8">
                  <c:v>1145</c:v>
                </c:pt>
                <c:pt idx="10">
                  <c:v>145</c:v>
                </c:pt>
                <c:pt idx="11">
                  <c:v>183</c:v>
                </c:pt>
                <c:pt idx="12">
                  <c:v>145</c:v>
                </c:pt>
                <c:pt idx="13">
                  <c:v>178</c:v>
                </c:pt>
              </c:numCache>
            </c:numRef>
          </c:val>
          <c:extLst>
            <c:ext xmlns:c16="http://schemas.microsoft.com/office/drawing/2014/chart" uri="{C3380CC4-5D6E-409C-BE32-E72D297353CC}">
              <c16:uniqueId val="{00000000-A809-844F-8A87-85D23180947F}"/>
            </c:ext>
          </c:extLst>
        </c:ser>
        <c:ser>
          <c:idx val="1"/>
          <c:order val="1"/>
          <c:tx>
            <c:strRef>
              <c:f>'4_2.4a-c_Graphs-Potential Chang'!$D$20</c:f>
              <c:strCache>
                <c:ptCount val="1"/>
                <c:pt idx="0">
                  <c:v>DDPI / PFS Indicator 2.4.5. Hospitalizations involving heroin and other opiods</c:v>
                </c:pt>
              </c:strCache>
            </c:strRef>
          </c:tx>
          <c:invertIfNegative val="0"/>
          <c:cat>
            <c:multiLvlStrRef>
              <c:f>'4_2.4a-c_Graphs-Potential Chang'!$A$21:$B$34</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'4_2.4a-c_Graphs-Potential Chang'!$D$21:$D$34</c:f>
              <c:numCache>
                <c:formatCode>###,###,##0</c:formatCode>
                <c:ptCount val="14"/>
                <c:pt idx="0">
                  <c:v>1</c:v>
                </c:pt>
                <c:pt idx="1">
                  <c:v>3</c:v>
                </c:pt>
                <c:pt idx="2">
                  <c:v>2</c:v>
                </c:pt>
                <c:pt idx="3">
                  <c:v>2</c:v>
                </c:pt>
                <c:pt idx="5">
                  <c:v>12</c:v>
                </c:pt>
                <c:pt idx="6">
                  <c:v>0</c:v>
                </c:pt>
                <c:pt idx="7">
                  <c:v>7</c:v>
                </c:pt>
                <c:pt idx="8">
                  <c:v>8</c:v>
                </c:pt>
                <c:pt idx="10">
                  <c:v>4</c:v>
                </c:pt>
                <c:pt idx="11">
                  <c:v>3</c:v>
                </c:pt>
                <c:pt idx="12">
                  <c:v>5</c:v>
                </c:pt>
                <c:pt idx="13">
                  <c:v>4</c:v>
                </c:pt>
              </c:numCache>
            </c:numRef>
          </c:val>
          <c:extLst>
            <c:ext xmlns:c16="http://schemas.microsoft.com/office/drawing/2014/chart" uri="{C3380CC4-5D6E-409C-BE32-E72D297353CC}">
              <c16:uniqueId val="{00000001-A809-844F-8A87-85D23180947F}"/>
            </c:ext>
          </c:extLst>
        </c:ser>
        <c:ser>
          <c:idx val="2"/>
          <c:order val="2"/>
          <c:tx>
            <c:strRef>
              <c:f>'4_2.4a-c_Graphs-Potential Chang'!$E$20</c:f>
              <c:strCache>
                <c:ptCount val="1"/>
                <c:pt idx="0">
                  <c:v>DDPI / PFS Indicator 2.4.6. Hospitalizations involving other opioids alone</c:v>
                </c:pt>
              </c:strCache>
            </c:strRef>
          </c:tx>
          <c:invertIfNegative val="0"/>
          <c:cat>
            <c:multiLvlStrRef>
              <c:f>'4_2.4a-c_Graphs-Potential Chang'!$A$21:$B$34</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'4_2.4a-c_Graphs-Potential Chang'!$E$21:$E$34</c:f>
              <c:numCache>
                <c:formatCode>###,###,##0</c:formatCode>
                <c:ptCount val="14"/>
                <c:pt idx="0">
                  <c:v>222</c:v>
                </c:pt>
                <c:pt idx="1">
                  <c:v>297</c:v>
                </c:pt>
                <c:pt idx="2">
                  <c:v>273</c:v>
                </c:pt>
                <c:pt idx="3">
                  <c:v>238</c:v>
                </c:pt>
                <c:pt idx="5">
                  <c:v>338</c:v>
                </c:pt>
                <c:pt idx="6">
                  <c:v>369</c:v>
                </c:pt>
                <c:pt idx="7">
                  <c:v>456</c:v>
                </c:pt>
                <c:pt idx="8">
                  <c:v>385</c:v>
                </c:pt>
                <c:pt idx="10">
                  <c:v>207</c:v>
                </c:pt>
                <c:pt idx="11">
                  <c:v>200</c:v>
                </c:pt>
                <c:pt idx="12">
                  <c:v>174</c:v>
                </c:pt>
                <c:pt idx="13">
                  <c:v>204</c:v>
                </c:pt>
              </c:numCache>
            </c:numRef>
          </c:val>
          <c:extLst>
            <c:ext xmlns:c16="http://schemas.microsoft.com/office/drawing/2014/chart" uri="{C3380CC4-5D6E-409C-BE32-E72D297353CC}">
              <c16:uniqueId val="{00000002-A809-844F-8A87-85D23180947F}"/>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 and Quarter</a:t>
                </a:r>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Table 2.4c: All Diagnosis Codes DDPI / PfS Case Definitions by manner type, By Quarter</a:t>
            </a:r>
          </a:p>
        </c:rich>
      </c:tx>
      <c:overlay val="0"/>
    </c:title>
    <c:autoTitleDeleted val="0"/>
    <c:plotArea>
      <c:layout/>
      <c:barChart>
        <c:barDir val="col"/>
        <c:grouping val="percentStacked"/>
        <c:varyColors val="0"/>
        <c:ser>
          <c:idx val="0"/>
          <c:order val="0"/>
          <c:tx>
            <c:strRef>
              <c:f>'4_2.4a-c_Graphs-Potential Chang'!$C$39</c:f>
              <c:strCache>
                <c:ptCount val="1"/>
                <c:pt idx="0">
                  <c:v>DDPI / PFS Indicator 2.4.1. Non-Fatal Drug Overdose Hospitalizations</c:v>
                </c:pt>
              </c:strCache>
            </c:strRef>
          </c:tx>
          <c:invertIfNegative val="0"/>
          <c:cat>
            <c:multiLvlStrRef>
              <c:f>'4_2.4a-c_Graphs-Potential Chang'!$A$40:$B$53</c:f>
              <c:multiLvlStrCache>
                <c:ptCount val="14"/>
                <c:lvl>
                  <c:pt idx="0">
                    <c:v>1</c:v>
                  </c:pt>
                  <c:pt idx="1">
                    <c:v>2</c:v>
                  </c:pt>
                  <c:pt idx="2">
                    <c:v>3</c:v>
                  </c:pt>
                  <c:pt idx="3">
                    <c:v>4</c:v>
                  </c:pt>
                  <c:pt idx="5">
                    <c:v>1</c:v>
                  </c:pt>
                  <c:pt idx="6">
                    <c:v>2</c:v>
                  </c:pt>
                  <c:pt idx="7">
                    <c:v>3</c:v>
                  </c:pt>
                  <c:pt idx="8">
                    <c:v>4</c:v>
                  </c:pt>
                  <c:pt idx="10">
                    <c:v>1</c:v>
                  </c:pt>
                  <c:pt idx="11">
                    <c:v>2</c:v>
                  </c:pt>
                  <c:pt idx="12">
                    <c:v>3</c:v>
                  </c:pt>
                  <c:pt idx="13">
                    <c:v>4</c:v>
                  </c:pt>
                </c:lvl>
                <c:lvl>
                  <c:pt idx="0">
                    <c:v>Colorado</c:v>
                  </c:pt>
                  <c:pt idx="5">
                    <c:v>Kentucky</c:v>
                  </c:pt>
                  <c:pt idx="10">
                    <c:v>New Mexico</c:v>
                  </c:pt>
                </c:lvl>
              </c:multiLvlStrCache>
            </c:multiLvlStrRef>
          </c:cat>
          <c:val>
            <c:numRef>
              <c:f>'4_2.4a-c_Graphs-Potential Chang'!$C$40:$C$53</c:f>
              <c:numCache>
                <c:formatCode>###,###,##0</c:formatCode>
                <c:ptCount val="14"/>
                <c:pt idx="0">
                  <c:v>4961</c:v>
                </c:pt>
                <c:pt idx="1">
                  <c:v>3418</c:v>
                </c:pt>
                <c:pt idx="2">
                  <c:v>31</c:v>
                </c:pt>
                <c:pt idx="3">
                  <c:v>671</c:v>
                </c:pt>
                <c:pt idx="5">
                  <c:v>28344</c:v>
                </c:pt>
                <c:pt idx="6">
                  <c:v>6305</c:v>
                </c:pt>
                <c:pt idx="7">
                  <c:v>83</c:v>
                </c:pt>
                <c:pt idx="8">
                  <c:v>1435</c:v>
                </c:pt>
                <c:pt idx="10">
                  <c:v>2896</c:v>
                </c:pt>
                <c:pt idx="11">
                  <c:v>1526</c:v>
                </c:pt>
                <c:pt idx="12">
                  <c:v>17</c:v>
                </c:pt>
                <c:pt idx="13">
                  <c:v>223</c:v>
                </c:pt>
              </c:numCache>
            </c:numRef>
          </c:val>
          <c:extLst>
            <c:ext xmlns:c16="http://schemas.microsoft.com/office/drawing/2014/chart" uri="{C3380CC4-5D6E-409C-BE32-E72D297353CC}">
              <c16:uniqueId val="{00000000-A809-844F-8A87-85D23180947F}"/>
            </c:ext>
          </c:extLst>
        </c:ser>
        <c:ser>
          <c:idx val="1"/>
          <c:order val="1"/>
          <c:tx>
            <c:strRef>
              <c:f>'4_2.4a-c_Graphs-Potential Chang'!$D$39</c:f>
              <c:strCache>
                <c:ptCount val="1"/>
                <c:pt idx="0">
                  <c:v>DDPI / PFS Indicator 2.4.2. Hospitalizations involving non-fatal opioid overdose excluding heroin</c:v>
                </c:pt>
              </c:strCache>
            </c:strRef>
          </c:tx>
          <c:invertIfNegative val="0"/>
          <c:cat>
            <c:multiLvlStrRef>
              <c:f>'4_2.4a-c_Graphs-Potential Chang'!$A$40:$B$53</c:f>
              <c:multiLvlStrCache>
                <c:ptCount val="14"/>
                <c:lvl>
                  <c:pt idx="0">
                    <c:v>1</c:v>
                  </c:pt>
                  <c:pt idx="1">
                    <c:v>2</c:v>
                  </c:pt>
                  <c:pt idx="2">
                    <c:v>3</c:v>
                  </c:pt>
                  <c:pt idx="3">
                    <c:v>4</c:v>
                  </c:pt>
                  <c:pt idx="5">
                    <c:v>1</c:v>
                  </c:pt>
                  <c:pt idx="6">
                    <c:v>2</c:v>
                  </c:pt>
                  <c:pt idx="7">
                    <c:v>3</c:v>
                  </c:pt>
                  <c:pt idx="8">
                    <c:v>4</c:v>
                  </c:pt>
                  <c:pt idx="10">
                    <c:v>1</c:v>
                  </c:pt>
                  <c:pt idx="11">
                    <c:v>2</c:v>
                  </c:pt>
                  <c:pt idx="12">
                    <c:v>3</c:v>
                  </c:pt>
                  <c:pt idx="13">
                    <c:v>4</c:v>
                  </c:pt>
                </c:lvl>
                <c:lvl>
                  <c:pt idx="0">
                    <c:v>Colorado</c:v>
                  </c:pt>
                  <c:pt idx="5">
                    <c:v>Kentucky</c:v>
                  </c:pt>
                  <c:pt idx="10">
                    <c:v>New Mexico</c:v>
                  </c:pt>
                </c:lvl>
              </c:multiLvlStrCache>
            </c:multiLvlStrRef>
          </c:cat>
          <c:val>
            <c:numRef>
              <c:f>'4_2.4a-c_Graphs-Potential Chang'!$D$40:$D$53</c:f>
              <c:numCache>
                <c:formatCode>###,###,##0</c:formatCode>
                <c:ptCount val="14"/>
                <c:pt idx="0">
                  <c:v>671</c:v>
                </c:pt>
                <c:pt idx="1">
                  <c:v>274</c:v>
                </c:pt>
                <c:pt idx="2">
                  <c:v>1</c:v>
                </c:pt>
                <c:pt idx="3">
                  <c:v>84</c:v>
                </c:pt>
                <c:pt idx="5">
                  <c:v>3800</c:v>
                </c:pt>
                <c:pt idx="6">
                  <c:v>389</c:v>
                </c:pt>
                <c:pt idx="7">
                  <c:v>6</c:v>
                </c:pt>
                <c:pt idx="8">
                  <c:v>182</c:v>
                </c:pt>
                <c:pt idx="10">
                  <c:v>578</c:v>
                </c:pt>
                <c:pt idx="11">
                  <c:v>169</c:v>
                </c:pt>
                <c:pt idx="12">
                  <c:v>0</c:v>
                </c:pt>
                <c:pt idx="13">
                  <c:v>38</c:v>
                </c:pt>
              </c:numCache>
            </c:numRef>
          </c:val>
          <c:extLst>
            <c:ext xmlns:c16="http://schemas.microsoft.com/office/drawing/2014/chart" uri="{C3380CC4-5D6E-409C-BE32-E72D297353CC}">
              <c16:uniqueId val="{00000001-A809-844F-8A87-85D23180947F}"/>
            </c:ext>
          </c:extLst>
        </c:ser>
        <c:ser>
          <c:idx val="2"/>
          <c:order val="2"/>
          <c:tx>
            <c:strRef>
              <c:f>'4_2.4a-c_Graphs-Potential Chang'!$E$39</c:f>
              <c:strCache>
                <c:ptCount val="1"/>
                <c:pt idx="0">
                  <c:v>DDPI / PFS Indicator 2.4.3. Hospitalizations involving non-fatal heroin overdose</c:v>
                </c:pt>
              </c:strCache>
            </c:strRef>
          </c:tx>
          <c:invertIfNegative val="0"/>
          <c:cat>
            <c:multiLvlStrRef>
              <c:f>'4_2.4a-c_Graphs-Potential Chang'!$A$40:$B$53</c:f>
              <c:multiLvlStrCache>
                <c:ptCount val="14"/>
                <c:lvl>
                  <c:pt idx="0">
                    <c:v>1</c:v>
                  </c:pt>
                  <c:pt idx="1">
                    <c:v>2</c:v>
                  </c:pt>
                  <c:pt idx="2">
                    <c:v>3</c:v>
                  </c:pt>
                  <c:pt idx="3">
                    <c:v>4</c:v>
                  </c:pt>
                  <c:pt idx="5">
                    <c:v>1</c:v>
                  </c:pt>
                  <c:pt idx="6">
                    <c:v>2</c:v>
                  </c:pt>
                  <c:pt idx="7">
                    <c:v>3</c:v>
                  </c:pt>
                  <c:pt idx="8">
                    <c:v>4</c:v>
                  </c:pt>
                  <c:pt idx="10">
                    <c:v>1</c:v>
                  </c:pt>
                  <c:pt idx="11">
                    <c:v>2</c:v>
                  </c:pt>
                  <c:pt idx="12">
                    <c:v>3</c:v>
                  </c:pt>
                  <c:pt idx="13">
                    <c:v>4</c:v>
                  </c:pt>
                </c:lvl>
                <c:lvl>
                  <c:pt idx="0">
                    <c:v>Colorado</c:v>
                  </c:pt>
                  <c:pt idx="5">
                    <c:v>Kentucky</c:v>
                  </c:pt>
                  <c:pt idx="10">
                    <c:v>New Mexico</c:v>
                  </c:pt>
                </c:lvl>
              </c:multiLvlStrCache>
            </c:multiLvlStrRef>
          </c:cat>
          <c:val>
            <c:numRef>
              <c:f>'4_2.4a-c_Graphs-Potential Chang'!$E$40:$E$53</c:f>
              <c:numCache>
                <c:formatCode>###,###,##0</c:formatCode>
                <c:ptCount val="14"/>
                <c:pt idx="0">
                  <c:v>657</c:v>
                </c:pt>
                <c:pt idx="1">
                  <c:v>31</c:v>
                </c:pt>
                <c:pt idx="2">
                  <c:v>2</c:v>
                </c:pt>
                <c:pt idx="3">
                  <c:v>78</c:v>
                </c:pt>
                <c:pt idx="5">
                  <c:v>12029</c:v>
                </c:pt>
                <c:pt idx="6">
                  <c:v>222</c:v>
                </c:pt>
                <c:pt idx="7">
                  <c:v>10</c:v>
                </c:pt>
                <c:pt idx="8">
                  <c:v>273</c:v>
                </c:pt>
                <c:pt idx="10">
                  <c:v>594</c:v>
                </c:pt>
                <c:pt idx="11">
                  <c:v>40</c:v>
                </c:pt>
                <c:pt idx="12">
                  <c:v>0</c:v>
                </c:pt>
                <c:pt idx="13">
                  <c:v>33</c:v>
                </c:pt>
              </c:numCache>
            </c:numRef>
          </c:val>
          <c:extLst>
            <c:ext xmlns:c16="http://schemas.microsoft.com/office/drawing/2014/chart" uri="{C3380CC4-5D6E-409C-BE32-E72D297353CC}">
              <c16:uniqueId val="{00000002-A809-844F-8A87-85D23180947F}"/>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 and</a:t>
                </a:r>
                <a:r>
                  <a:rPr lang="en-US" baseline="0"/>
                  <a:t> Manner Type</a:t>
                </a:r>
                <a:endParaRPr lang="en-US"/>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2.4b. Percent of heroin, non-heroin opioid, and combination emergency department visits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'4_2.4b_multiopioid'!$A$21</c:f>
              <c:strCache>
                <c:ptCount val="1"/>
                <c:pt idx="0">
                  <c:v>Heroin alone</c:v>
                </c:pt>
              </c:strCache>
            </c:strRef>
          </c:tx>
          <c:spPr>
            <a:solidFill>
              <a:schemeClr val="accent1"/>
            </a:solidFill>
            <a:ln>
              <a:noFill/>
            </a:ln>
            <a:effectLst/>
          </c:spPr>
          <c:invertIfNegative val="0"/>
          <c:cat>
            <c:strRef>
              <c:f>'4_2.4b_multiopioid'!$B$20:$F$20</c:f>
              <c:strCache>
                <c:ptCount val="5"/>
                <c:pt idx="0">
                  <c:v>CO</c:v>
                </c:pt>
                <c:pt idx="1">
                  <c:v>KY</c:v>
                </c:pt>
                <c:pt idx="2">
                  <c:v>LA</c:v>
                </c:pt>
                <c:pt idx="3">
                  <c:v>NM</c:v>
                </c:pt>
                <c:pt idx="4">
                  <c:v>TN</c:v>
                </c:pt>
              </c:strCache>
            </c:strRef>
          </c:cat>
          <c:val>
            <c:numRef>
              <c:f>'4_2.4b_multiopioid'!$B$21:$F$21</c:f>
              <c:numCache>
                <c:formatCode>0.0%</c:formatCode>
                <c:ptCount val="5"/>
                <c:pt idx="0">
                  <c:v>0.42269187986651835</c:v>
                </c:pt>
                <c:pt idx="1">
                  <c:v>0.73579327065223821</c:v>
                </c:pt>
                <c:pt idx="2">
                  <c:v>0.38847523470378764</c:v>
                </c:pt>
                <c:pt idx="3">
                  <c:v>0.44834710743801653</c:v>
                </c:pt>
                <c:pt idx="4">
                  <c:v>0.37438643462739846</c:v>
                </c:pt>
              </c:numCache>
            </c:numRef>
          </c:val>
          <c:extLst>
            <c:ext xmlns:c16="http://schemas.microsoft.com/office/drawing/2014/chart" uri="{C3380CC4-5D6E-409C-BE32-E72D297353CC}">
              <c16:uniqueId val="{00000000-BB57-9742-9A68-0C516284CF83}"/>
            </c:ext>
          </c:extLst>
        </c:ser>
        <c:ser>
          <c:idx val="1"/>
          <c:order val="1"/>
          <c:tx>
            <c:strRef>
              <c:f>'4_2.4b_multiopioid'!$A$22</c:f>
              <c:strCache>
                <c:ptCount val="1"/>
                <c:pt idx="0">
                  <c:v>Heroin and other opiods</c:v>
                </c:pt>
              </c:strCache>
            </c:strRef>
          </c:tx>
          <c:spPr>
            <a:solidFill>
              <a:schemeClr val="accent2"/>
            </a:solidFill>
            <a:ln>
              <a:noFill/>
            </a:ln>
            <a:effectLst/>
          </c:spPr>
          <c:invertIfNegative val="0"/>
          <c:cat>
            <c:strRef>
              <c:f>'4_2.4b_multiopioid'!$B$20:$F$20</c:f>
              <c:strCache>
                <c:ptCount val="5"/>
                <c:pt idx="0">
                  <c:v>CO</c:v>
                </c:pt>
                <c:pt idx="1">
                  <c:v>KY</c:v>
                </c:pt>
                <c:pt idx="2">
                  <c:v>LA</c:v>
                </c:pt>
                <c:pt idx="3">
                  <c:v>NM</c:v>
                </c:pt>
                <c:pt idx="4">
                  <c:v>TN</c:v>
                </c:pt>
              </c:strCache>
            </c:strRef>
          </c:cat>
          <c:val>
            <c:numRef>
              <c:f>'4_2.4b_multiopioid'!$B$22:$F$22</c:f>
              <c:numCache>
                <c:formatCode>0.0%</c:formatCode>
                <c:ptCount val="5"/>
                <c:pt idx="0">
                  <c:v>4.4493882091212458E-3</c:v>
                </c:pt>
                <c:pt idx="1">
                  <c:v>5.3811128851043695E-3</c:v>
                </c:pt>
                <c:pt idx="2">
                  <c:v>1.5539009388151505E-2</c:v>
                </c:pt>
                <c:pt idx="3">
                  <c:v>1.1019283746556474E-2</c:v>
                </c:pt>
                <c:pt idx="4">
                  <c:v>9.3708165997322627E-3</c:v>
                </c:pt>
              </c:numCache>
            </c:numRef>
          </c:val>
          <c:extLst>
            <c:ext xmlns:c16="http://schemas.microsoft.com/office/drawing/2014/chart" uri="{C3380CC4-5D6E-409C-BE32-E72D297353CC}">
              <c16:uniqueId val="{00000001-BB57-9742-9A68-0C516284CF83}"/>
            </c:ext>
          </c:extLst>
        </c:ser>
        <c:ser>
          <c:idx val="2"/>
          <c:order val="2"/>
          <c:tx>
            <c:strRef>
              <c:f>'4_2.4b_multiopioid'!$A$23</c:f>
              <c:strCache>
                <c:ptCount val="1"/>
                <c:pt idx="0">
                  <c:v>Non-heroin opioids alone</c:v>
                </c:pt>
              </c:strCache>
            </c:strRef>
          </c:tx>
          <c:spPr>
            <a:solidFill>
              <a:schemeClr val="accent3"/>
            </a:solidFill>
            <a:ln>
              <a:noFill/>
            </a:ln>
            <a:effectLst/>
          </c:spPr>
          <c:invertIfNegative val="0"/>
          <c:cat>
            <c:strRef>
              <c:f>'4_2.4b_multiopioid'!$B$20:$F$20</c:f>
              <c:strCache>
                <c:ptCount val="5"/>
                <c:pt idx="0">
                  <c:v>CO</c:v>
                </c:pt>
                <c:pt idx="1">
                  <c:v>KY</c:v>
                </c:pt>
                <c:pt idx="2">
                  <c:v>LA</c:v>
                </c:pt>
                <c:pt idx="3">
                  <c:v>NM</c:v>
                </c:pt>
                <c:pt idx="4">
                  <c:v>TN</c:v>
                </c:pt>
              </c:strCache>
            </c:strRef>
          </c:cat>
          <c:val>
            <c:numRef>
              <c:f>'4_2.4b_multiopioid'!$B$23:$F$23</c:f>
              <c:numCache>
                <c:formatCode>0.0%</c:formatCode>
                <c:ptCount val="5"/>
                <c:pt idx="0">
                  <c:v>0.57285873192436043</c:v>
                </c:pt>
                <c:pt idx="1">
                  <c:v>0.25882561646265745</c:v>
                </c:pt>
                <c:pt idx="2">
                  <c:v>0.59598575590806091</c:v>
                </c:pt>
                <c:pt idx="3">
                  <c:v>0.54063360881542699</c:v>
                </c:pt>
                <c:pt idx="4">
                  <c:v>0.61624274877286922</c:v>
                </c:pt>
              </c:numCache>
            </c:numRef>
          </c:val>
          <c:extLst>
            <c:ext xmlns:c16="http://schemas.microsoft.com/office/drawing/2014/chart" uri="{C3380CC4-5D6E-409C-BE32-E72D297353CC}">
              <c16:uniqueId val="{00000002-BB57-9742-9A68-0C516284CF83}"/>
            </c:ext>
          </c:extLst>
        </c:ser>
        <c:dLbls>
          <c:showLegendKey val="0"/>
          <c:showVal val="0"/>
          <c:showCatName val="0"/>
          <c:showSerName val="0"/>
          <c:showPercent val="0"/>
          <c:showBubbleSize val="0"/>
        </c:dLbls>
        <c:gapWidth val="219"/>
        <c:overlap val="-27"/>
        <c:axId val="379060384"/>
        <c:axId val="379062112"/>
      </c:barChart>
      <c:catAx>
        <c:axId val="37906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2.4a.  Percent overdose emergency department visits with a "subsequent" encounter,</a:t>
            </a:r>
            <a:r>
              <a:rPr lang="en-US" baseline="0"/>
              <a:t> PFS Definition (Any Mention, Exlcuding Deceased Patients)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'4_2.4a_encounter'!$I$52</c:f>
              <c:strCache>
                <c:ptCount val="1"/>
                <c:pt idx="0">
                  <c:v>All drugs </c:v>
                </c:pt>
              </c:strCache>
            </c:strRef>
          </c:tx>
          <c:spPr>
            <a:solidFill>
              <a:schemeClr val="accent1"/>
            </a:solidFill>
            <a:ln>
              <a:noFill/>
            </a:ln>
            <a:effectLst/>
          </c:spPr>
          <c:invertIfNegative val="0"/>
          <c:cat>
            <c:strRef>
              <c:f>'4_2.4a_encounter'!$J$51:$N$51</c:f>
              <c:strCache>
                <c:ptCount val="5"/>
                <c:pt idx="0">
                  <c:v>CO</c:v>
                </c:pt>
                <c:pt idx="1">
                  <c:v>KY</c:v>
                </c:pt>
                <c:pt idx="2">
                  <c:v>LA</c:v>
                </c:pt>
                <c:pt idx="3">
                  <c:v>NM</c:v>
                </c:pt>
                <c:pt idx="4">
                  <c:v>TN</c:v>
                </c:pt>
              </c:strCache>
            </c:strRef>
          </c:cat>
          <c:val>
            <c:numRef>
              <c:f>'4_2.4a_encounter'!$J$52:$N$52</c:f>
              <c:numCache>
                <c:formatCode>0.0%</c:formatCode>
                <c:ptCount val="5"/>
                <c:pt idx="0">
                  <c:v>2.2024006166721727E-3</c:v>
                </c:pt>
                <c:pt idx="1">
                  <c:v>1.0506815605386126E-3</c:v>
                </c:pt>
                <c:pt idx="2">
                  <c:v>3.2727585909913012E-3</c:v>
                </c:pt>
                <c:pt idx="3">
                  <c:v>2.1450021450021449E-3</c:v>
                </c:pt>
                <c:pt idx="4">
                  <c:v>1.4345619068638269E-3</c:v>
                </c:pt>
              </c:numCache>
            </c:numRef>
          </c:val>
          <c:extLst>
            <c:ext xmlns:c16="http://schemas.microsoft.com/office/drawing/2014/chart" uri="{C3380CC4-5D6E-409C-BE32-E72D297353CC}">
              <c16:uniqueId val="{00000000-6377-E048-90A8-B12E6EEDEE76}"/>
            </c:ext>
          </c:extLst>
        </c:ser>
        <c:ser>
          <c:idx val="1"/>
          <c:order val="1"/>
          <c:tx>
            <c:strRef>
              <c:f>'4_2.4a_encounter'!$I$53</c:f>
              <c:strCache>
                <c:ptCount val="1"/>
                <c:pt idx="0">
                  <c:v>Non-heroin opioids </c:v>
                </c:pt>
              </c:strCache>
            </c:strRef>
          </c:tx>
          <c:spPr>
            <a:solidFill>
              <a:schemeClr val="accent2"/>
            </a:solidFill>
            <a:ln>
              <a:noFill/>
            </a:ln>
            <a:effectLst/>
          </c:spPr>
          <c:invertIfNegative val="0"/>
          <c:cat>
            <c:strRef>
              <c:f>'4_2.4a_encounter'!$J$51:$N$51</c:f>
              <c:strCache>
                <c:ptCount val="5"/>
                <c:pt idx="0">
                  <c:v>CO</c:v>
                </c:pt>
                <c:pt idx="1">
                  <c:v>KY</c:v>
                </c:pt>
                <c:pt idx="2">
                  <c:v>LA</c:v>
                </c:pt>
                <c:pt idx="3">
                  <c:v>NM</c:v>
                </c:pt>
                <c:pt idx="4">
                  <c:v>TN</c:v>
                </c:pt>
              </c:strCache>
            </c:strRef>
          </c:cat>
          <c:val>
            <c:numRef>
              <c:f>'4_2.4a_encounter'!$J$53:$N$53</c:f>
              <c:numCache>
                <c:formatCode>0.0%</c:formatCode>
                <c:ptCount val="5"/>
                <c:pt idx="0">
                  <c:v>9.7087378640776695E-4</c:v>
                </c:pt>
                <c:pt idx="1">
                  <c:v>4.569339730408956E-4</c:v>
                </c:pt>
                <c:pt idx="2">
                  <c:v>1.6295491580662683E-3</c:v>
                </c:pt>
                <c:pt idx="3">
                  <c:v>3.821656050955414E-3</c:v>
                </c:pt>
                <c:pt idx="4">
                  <c:v>1.8102824040550326E-3</c:v>
                </c:pt>
              </c:numCache>
            </c:numRef>
          </c:val>
          <c:extLst>
            <c:ext xmlns:c16="http://schemas.microsoft.com/office/drawing/2014/chart" uri="{C3380CC4-5D6E-409C-BE32-E72D297353CC}">
              <c16:uniqueId val="{00000001-6377-E048-90A8-B12E6EEDEE76}"/>
            </c:ext>
          </c:extLst>
        </c:ser>
        <c:ser>
          <c:idx val="2"/>
          <c:order val="2"/>
          <c:tx>
            <c:strRef>
              <c:f>'4_2.4a_encounter'!$I$54</c:f>
              <c:strCache>
                <c:ptCount val="1"/>
                <c:pt idx="0">
                  <c:v>Heroin </c:v>
                </c:pt>
              </c:strCache>
            </c:strRef>
          </c:tx>
          <c:spPr>
            <a:solidFill>
              <a:schemeClr val="accent3"/>
            </a:solidFill>
            <a:ln>
              <a:noFill/>
            </a:ln>
            <a:effectLst/>
          </c:spPr>
          <c:invertIfNegative val="0"/>
          <c:cat>
            <c:strRef>
              <c:f>'4_2.4a_encounter'!$J$51:$N$51</c:f>
              <c:strCache>
                <c:ptCount val="5"/>
                <c:pt idx="0">
                  <c:v>CO</c:v>
                </c:pt>
                <c:pt idx="1">
                  <c:v>KY</c:v>
                </c:pt>
                <c:pt idx="2">
                  <c:v>LA</c:v>
                </c:pt>
                <c:pt idx="3">
                  <c:v>NM</c:v>
                </c:pt>
                <c:pt idx="4">
                  <c:v>TN</c:v>
                </c:pt>
              </c:strCache>
            </c:strRef>
          </c:cat>
          <c:val>
            <c:numRef>
              <c:f>'4_2.4a_encounter'!$J$54:$N$54</c:f>
              <c:numCache>
                <c:formatCode>0.0%</c:formatCode>
                <c:ptCount val="5"/>
                <c:pt idx="0">
                  <c:v>1.3020833333333333E-3</c:v>
                </c:pt>
                <c:pt idx="1">
                  <c:v>7.9782990266475187E-4</c:v>
                </c:pt>
                <c:pt idx="2">
                  <c:v>1.6025641025641025E-3</c:v>
                </c:pt>
                <c:pt idx="3">
                  <c:v>0</c:v>
                </c:pt>
                <c:pt idx="4">
                  <c:v>0</c:v>
                </c:pt>
              </c:numCache>
            </c:numRef>
          </c:val>
          <c:extLst>
            <c:ext xmlns:c16="http://schemas.microsoft.com/office/drawing/2014/chart" uri="{C3380CC4-5D6E-409C-BE32-E72D297353CC}">
              <c16:uniqueId val="{00000002-6377-E048-90A8-B12E6EEDEE76}"/>
            </c:ext>
          </c:extLst>
        </c:ser>
        <c:dLbls>
          <c:showLegendKey val="0"/>
          <c:showVal val="0"/>
          <c:showCatName val="0"/>
          <c:showSerName val="0"/>
          <c:showPercent val="0"/>
          <c:showBubbleSize val="0"/>
        </c:dLbls>
        <c:gapWidth val="219"/>
        <c:overlap val="-27"/>
        <c:axId val="858590896"/>
        <c:axId val="871572384"/>
      </c:barChart>
      <c:catAx>
        <c:axId val="858590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1572384"/>
        <c:crosses val="autoZero"/>
        <c:auto val="1"/>
        <c:lblAlgn val="ctr"/>
        <c:lblOffset val="100"/>
        <c:noMultiLvlLbl val="0"/>
      </c:catAx>
      <c:valAx>
        <c:axId val="87157238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590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4_2.4a.</a:t>
            </a:r>
            <a:r>
              <a:rPr lang="en-US" baseline="0"/>
              <a:t> </a:t>
            </a:r>
            <a:r>
              <a:rPr lang="en-US"/>
              <a:t>All Drug Overdoses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'4_2.4a-c_Total_Graphs'!$I$38</c:f>
              <c:strCache>
                <c:ptCount val="1"/>
                <c:pt idx="0">
                  <c:v>First diagnosis code</c:v>
                </c:pt>
              </c:strCache>
            </c:strRef>
          </c:tx>
          <c:spPr>
            <a:solidFill>
              <a:schemeClr val="accent1"/>
            </a:solidFill>
            <a:ln>
              <a:noFill/>
            </a:ln>
            <a:effectLst/>
          </c:spPr>
          <c:invertIfNegative val="0"/>
          <c:cat>
            <c:strRef>
              <c:f>'4_2.4a-c_Total_Graphs'!$P$37:$T$37</c:f>
              <c:strCache>
                <c:ptCount val="5"/>
                <c:pt idx="0">
                  <c:v>CO</c:v>
                </c:pt>
                <c:pt idx="1">
                  <c:v>KY</c:v>
                </c:pt>
                <c:pt idx="2">
                  <c:v>LA</c:v>
                </c:pt>
                <c:pt idx="3">
                  <c:v>NM</c:v>
                </c:pt>
                <c:pt idx="4">
                  <c:v>TN</c:v>
                </c:pt>
              </c:strCache>
            </c:strRef>
          </c:cat>
          <c:val>
            <c:numRef>
              <c:f>'4_2.4a-c_Total_Graphs'!$P$38:$T$38</c:f>
              <c:numCache>
                <c:formatCode>0%</c:formatCode>
                <c:ptCount val="5"/>
                <c:pt idx="0">
                  <c:v>0.80728994604118487</c:v>
                </c:pt>
                <c:pt idx="1">
                  <c:v>0.88171537589515303</c:v>
                </c:pt>
                <c:pt idx="2">
                  <c:v>0.71768557020260104</c:v>
                </c:pt>
                <c:pt idx="3">
                  <c:v>0.79686829686829685</c:v>
                </c:pt>
                <c:pt idx="4">
                  <c:v>0.81215133940900308</c:v>
                </c:pt>
              </c:numCache>
            </c:numRef>
          </c:val>
          <c:extLst>
            <c:ext xmlns:c16="http://schemas.microsoft.com/office/drawing/2014/chart" uri="{C3380CC4-5D6E-409C-BE32-E72D297353CC}">
              <c16:uniqueId val="{00000000-BB57-9742-9A68-0C516284CF83}"/>
            </c:ext>
          </c:extLst>
        </c:ser>
        <c:ser>
          <c:idx val="1"/>
          <c:order val="1"/>
          <c:tx>
            <c:strRef>
              <c:f>'4_2.4a-c_Total_Graphs'!$I$39</c:f>
              <c:strCache>
                <c:ptCount val="1"/>
                <c:pt idx="0">
                  <c:v>First 5 diagnosis codes</c:v>
                </c:pt>
              </c:strCache>
            </c:strRef>
          </c:tx>
          <c:spPr>
            <a:solidFill>
              <a:schemeClr val="accent2"/>
            </a:solidFill>
            <a:ln>
              <a:noFill/>
            </a:ln>
            <a:effectLst/>
          </c:spPr>
          <c:invertIfNegative val="0"/>
          <c:cat>
            <c:strRef>
              <c:f>'4_2.4a-c_Total_Graphs'!$P$37:$T$37</c:f>
              <c:strCache>
                <c:ptCount val="5"/>
                <c:pt idx="0">
                  <c:v>CO</c:v>
                </c:pt>
                <c:pt idx="1">
                  <c:v>KY</c:v>
                </c:pt>
                <c:pt idx="2">
                  <c:v>LA</c:v>
                </c:pt>
                <c:pt idx="3">
                  <c:v>NM</c:v>
                </c:pt>
                <c:pt idx="4">
                  <c:v>TN</c:v>
                </c:pt>
              </c:strCache>
            </c:strRef>
          </c:cat>
          <c:val>
            <c:numRef>
              <c:f>'4_2.4a-c_Total_Graphs'!$P$39:$T$39</c:f>
              <c:numCache>
                <c:formatCode>0%</c:formatCode>
                <c:ptCount val="5"/>
                <c:pt idx="0">
                  <c:v>0.98546415592996361</c:v>
                </c:pt>
                <c:pt idx="1">
                  <c:v>0.99518898443332315</c:v>
                </c:pt>
                <c:pt idx="2">
                  <c:v>1.0272494028134123</c:v>
                </c:pt>
                <c:pt idx="3">
                  <c:v>0.97790647790647789</c:v>
                </c:pt>
                <c:pt idx="4">
                  <c:v>1.0010494338580502</c:v>
                </c:pt>
              </c:numCache>
            </c:numRef>
          </c:val>
          <c:extLst>
            <c:ext xmlns:c16="http://schemas.microsoft.com/office/drawing/2014/chart" uri="{C3380CC4-5D6E-409C-BE32-E72D297353CC}">
              <c16:uniqueId val="{00000001-BB57-9742-9A68-0C516284CF83}"/>
            </c:ext>
          </c:extLst>
        </c:ser>
        <c:ser>
          <c:idx val="2"/>
          <c:order val="2"/>
          <c:tx>
            <c:strRef>
              <c:f>'4_2.4a-c_Total_Graphs'!$I$40</c:f>
              <c:strCache>
                <c:ptCount val="1"/>
                <c:pt idx="0">
                  <c:v>First 10 diagnosis codes</c:v>
                </c:pt>
              </c:strCache>
            </c:strRef>
          </c:tx>
          <c:spPr>
            <a:solidFill>
              <a:schemeClr val="accent3"/>
            </a:solidFill>
            <a:ln>
              <a:noFill/>
            </a:ln>
            <a:effectLst/>
          </c:spPr>
          <c:invertIfNegative val="0"/>
          <c:cat>
            <c:strRef>
              <c:f>'4_2.4a-c_Total_Graphs'!$P$37:$T$37</c:f>
              <c:strCache>
                <c:ptCount val="5"/>
                <c:pt idx="0">
                  <c:v>CO</c:v>
                </c:pt>
                <c:pt idx="1">
                  <c:v>KY</c:v>
                </c:pt>
                <c:pt idx="2">
                  <c:v>LA</c:v>
                </c:pt>
                <c:pt idx="3">
                  <c:v>NM</c:v>
                </c:pt>
                <c:pt idx="4">
                  <c:v>TN</c:v>
                </c:pt>
              </c:strCache>
            </c:strRef>
          </c:cat>
          <c:val>
            <c:numRef>
              <c:f>'4_2.4a-c_Total_Graphs'!$P$40:$T$40</c:f>
              <c:numCache>
                <c:formatCode>0%</c:formatCode>
                <c:ptCount val="5"/>
                <c:pt idx="0">
                  <c:v>0.99735711925999337</c:v>
                </c:pt>
                <c:pt idx="1">
                  <c:v>0.99889401940995937</c:v>
                </c:pt>
                <c:pt idx="2">
                  <c:v>0.94373175263204456</c:v>
                </c:pt>
                <c:pt idx="3">
                  <c:v>0.9931359931359931</c:v>
                </c:pt>
                <c:pt idx="4">
                  <c:v>0.99199116266224796</c:v>
                </c:pt>
              </c:numCache>
            </c:numRef>
          </c:val>
          <c:extLst>
            <c:ext xmlns:c16="http://schemas.microsoft.com/office/drawing/2014/chart" uri="{C3380CC4-5D6E-409C-BE32-E72D297353CC}">
              <c16:uniqueId val="{00000002-BB57-9742-9A68-0C516284CF83}"/>
            </c:ext>
          </c:extLst>
        </c:ser>
        <c:ser>
          <c:idx val="3"/>
          <c:order val="3"/>
          <c:tx>
            <c:strRef>
              <c:f>'4_2.4a-c_Total_Graphs'!$I$41</c:f>
              <c:strCache>
                <c:ptCount val="1"/>
                <c:pt idx="0">
                  <c:v>All available diagnosis codes</c:v>
                </c:pt>
              </c:strCache>
            </c:strRef>
          </c:tx>
          <c:spPr>
            <a:solidFill>
              <a:schemeClr val="accent4"/>
            </a:solidFill>
            <a:ln>
              <a:noFill/>
            </a:ln>
            <a:effectLst/>
          </c:spPr>
          <c:invertIfNegative val="0"/>
          <c:cat>
            <c:strRef>
              <c:f>'4_2.4a-c_Total_Graphs'!$P$37:$T$37</c:f>
              <c:strCache>
                <c:ptCount val="5"/>
                <c:pt idx="0">
                  <c:v>CO</c:v>
                </c:pt>
                <c:pt idx="1">
                  <c:v>KY</c:v>
                </c:pt>
                <c:pt idx="2">
                  <c:v>LA</c:v>
                </c:pt>
                <c:pt idx="3">
                  <c:v>NM</c:v>
                </c:pt>
                <c:pt idx="4">
                  <c:v>TN</c:v>
                </c:pt>
              </c:strCache>
            </c:strRef>
          </c:cat>
          <c:val>
            <c:numRef>
              <c:f>'4_2.4a-c_Total_Graphs'!$P$41:$T$41</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3-BB57-9742-9A68-0C516284CF83}"/>
            </c:ext>
          </c:extLst>
        </c:ser>
        <c:dLbls>
          <c:showLegendKey val="0"/>
          <c:showVal val="0"/>
          <c:showCatName val="0"/>
          <c:showSerName val="0"/>
          <c:showPercent val="0"/>
          <c:showBubbleSize val="0"/>
        </c:dLbls>
        <c:gapWidth val="219"/>
        <c:overlap val="-27"/>
        <c:axId val="379060384"/>
        <c:axId val="379062112"/>
      </c:barChart>
      <c:catAx>
        <c:axId val="37906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4_2.4b. Non-heroin Opioid Overdoses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'4_2.4a-c_Total_Graphs'!$I$44</c:f>
              <c:strCache>
                <c:ptCount val="1"/>
                <c:pt idx="0">
                  <c:v>First diagnosis code</c:v>
                </c:pt>
              </c:strCache>
            </c:strRef>
          </c:tx>
          <c:spPr>
            <a:solidFill>
              <a:schemeClr val="accent1"/>
            </a:solidFill>
            <a:ln>
              <a:noFill/>
            </a:ln>
            <a:effectLst/>
          </c:spPr>
          <c:invertIfNegative val="0"/>
          <c:cat>
            <c:strRef>
              <c:f>'4_2.4a-c_Total_Graphs'!$P$43:$T$43</c:f>
              <c:strCache>
                <c:ptCount val="5"/>
                <c:pt idx="0">
                  <c:v>CO</c:v>
                </c:pt>
                <c:pt idx="1">
                  <c:v>KY</c:v>
                </c:pt>
                <c:pt idx="2">
                  <c:v>LA</c:v>
                </c:pt>
                <c:pt idx="3">
                  <c:v>NM</c:v>
                </c:pt>
                <c:pt idx="4">
                  <c:v>TN</c:v>
                </c:pt>
              </c:strCache>
            </c:strRef>
          </c:cat>
          <c:val>
            <c:numRef>
              <c:f>'4_2.4a-c_Total_Graphs'!$P$44:$T$44</c:f>
              <c:numCache>
                <c:formatCode>0%</c:formatCode>
                <c:ptCount val="5"/>
                <c:pt idx="0">
                  <c:v>0.94791666666666663</c:v>
                </c:pt>
                <c:pt idx="1">
                  <c:v>0.27668741024413596</c:v>
                </c:pt>
                <c:pt idx="2">
                  <c:v>0.63787185354691078</c:v>
                </c:pt>
                <c:pt idx="3">
                  <c:v>0.83358320839580213</c:v>
                </c:pt>
                <c:pt idx="4">
                  <c:v>0.6809127127852227</c:v>
                </c:pt>
              </c:numCache>
            </c:numRef>
          </c:val>
          <c:extLst>
            <c:ext xmlns:c16="http://schemas.microsoft.com/office/drawing/2014/chart" uri="{C3380CC4-5D6E-409C-BE32-E72D297353CC}">
              <c16:uniqueId val="{00000000-BB57-9742-9A68-0C516284CF83}"/>
            </c:ext>
          </c:extLst>
        </c:ser>
        <c:ser>
          <c:idx val="1"/>
          <c:order val="1"/>
          <c:tx>
            <c:strRef>
              <c:f>'4_2.4a-c_Total_Graphs'!$I$45</c:f>
              <c:strCache>
                <c:ptCount val="1"/>
                <c:pt idx="0">
                  <c:v>First 5 diagnosis codes</c:v>
                </c:pt>
              </c:strCache>
            </c:strRef>
          </c:tx>
          <c:spPr>
            <a:solidFill>
              <a:schemeClr val="accent2"/>
            </a:solidFill>
            <a:ln>
              <a:noFill/>
            </a:ln>
            <a:effectLst/>
          </c:spPr>
          <c:invertIfNegative val="0"/>
          <c:cat>
            <c:strRef>
              <c:f>'4_2.4a-c_Total_Graphs'!$P$43:$T$43</c:f>
              <c:strCache>
                <c:ptCount val="5"/>
                <c:pt idx="0">
                  <c:v>CO</c:v>
                </c:pt>
                <c:pt idx="1">
                  <c:v>KY</c:v>
                </c:pt>
                <c:pt idx="2">
                  <c:v>LA</c:v>
                </c:pt>
                <c:pt idx="3">
                  <c:v>NM</c:v>
                </c:pt>
                <c:pt idx="4">
                  <c:v>TN</c:v>
                </c:pt>
              </c:strCache>
            </c:strRef>
          </c:cat>
          <c:val>
            <c:numRef>
              <c:f>'4_2.4a-c_Total_Graphs'!$P$45:$T$45</c:f>
              <c:numCache>
                <c:formatCode>0%</c:formatCode>
                <c:ptCount val="5"/>
                <c:pt idx="0">
                  <c:v>1.3125</c:v>
                </c:pt>
                <c:pt idx="1">
                  <c:v>0.34625817775650231</c:v>
                </c:pt>
                <c:pt idx="2">
                  <c:v>1.0532036613272311</c:v>
                </c:pt>
                <c:pt idx="3">
                  <c:v>1.1064467766116941</c:v>
                </c:pt>
                <c:pt idx="4">
                  <c:v>1.0003621876131836</c:v>
                </c:pt>
              </c:numCache>
            </c:numRef>
          </c:val>
          <c:extLst>
            <c:ext xmlns:c16="http://schemas.microsoft.com/office/drawing/2014/chart" uri="{C3380CC4-5D6E-409C-BE32-E72D297353CC}">
              <c16:uniqueId val="{00000001-BB57-9742-9A68-0C516284CF83}"/>
            </c:ext>
          </c:extLst>
        </c:ser>
        <c:ser>
          <c:idx val="2"/>
          <c:order val="2"/>
          <c:tx>
            <c:strRef>
              <c:f>'4_2.4a-c_Total_Graphs'!$I$46</c:f>
              <c:strCache>
                <c:ptCount val="1"/>
                <c:pt idx="0">
                  <c:v>First 10 diagnosis codes</c:v>
                </c:pt>
              </c:strCache>
            </c:strRef>
          </c:tx>
          <c:spPr>
            <a:solidFill>
              <a:schemeClr val="accent3"/>
            </a:solidFill>
            <a:ln>
              <a:noFill/>
            </a:ln>
            <a:effectLst/>
          </c:spPr>
          <c:invertIfNegative val="0"/>
          <c:cat>
            <c:strRef>
              <c:f>'4_2.4a-c_Total_Graphs'!$P$43:$T$43</c:f>
              <c:strCache>
                <c:ptCount val="5"/>
                <c:pt idx="0">
                  <c:v>CO</c:v>
                </c:pt>
                <c:pt idx="1">
                  <c:v>KY</c:v>
                </c:pt>
                <c:pt idx="2">
                  <c:v>LA</c:v>
                </c:pt>
                <c:pt idx="3">
                  <c:v>NM</c:v>
                </c:pt>
                <c:pt idx="4">
                  <c:v>TN</c:v>
                </c:pt>
              </c:strCache>
            </c:strRef>
          </c:cat>
          <c:val>
            <c:numRef>
              <c:f>'4_2.4a-c_Total_Graphs'!$P$46:$T$46</c:f>
              <c:numCache>
                <c:formatCode>0%</c:formatCode>
                <c:ptCount val="5"/>
                <c:pt idx="0">
                  <c:v>1.3333333333333333</c:v>
                </c:pt>
                <c:pt idx="1">
                  <c:v>0.34849210148396365</c:v>
                </c:pt>
                <c:pt idx="2">
                  <c:v>0.90160183066361554</c:v>
                </c:pt>
                <c:pt idx="3">
                  <c:v>1.1574212893553224</c:v>
                </c:pt>
                <c:pt idx="4">
                  <c:v>0.98768562115175662</c:v>
                </c:pt>
              </c:numCache>
            </c:numRef>
          </c:val>
          <c:extLst>
            <c:ext xmlns:c16="http://schemas.microsoft.com/office/drawing/2014/chart" uri="{C3380CC4-5D6E-409C-BE32-E72D297353CC}">
              <c16:uniqueId val="{00000002-BB57-9742-9A68-0C516284CF83}"/>
            </c:ext>
          </c:extLst>
        </c:ser>
        <c:ser>
          <c:idx val="3"/>
          <c:order val="3"/>
          <c:tx>
            <c:strRef>
              <c:f>'4_2.4a-c_Total_Graphs'!$I$47</c:f>
              <c:strCache>
                <c:ptCount val="1"/>
                <c:pt idx="0">
                  <c:v>All available diagnosis codes</c:v>
                </c:pt>
              </c:strCache>
            </c:strRef>
          </c:tx>
          <c:spPr>
            <a:solidFill>
              <a:schemeClr val="accent4"/>
            </a:solidFill>
            <a:ln>
              <a:noFill/>
            </a:ln>
            <a:effectLst/>
          </c:spPr>
          <c:invertIfNegative val="0"/>
          <c:cat>
            <c:strRef>
              <c:f>'4_2.4a-c_Total_Graphs'!$P$43:$T$43</c:f>
              <c:strCache>
                <c:ptCount val="5"/>
                <c:pt idx="0">
                  <c:v>CO</c:v>
                </c:pt>
                <c:pt idx="1">
                  <c:v>KY</c:v>
                </c:pt>
                <c:pt idx="2">
                  <c:v>LA</c:v>
                </c:pt>
                <c:pt idx="3">
                  <c:v>NM</c:v>
                </c:pt>
                <c:pt idx="4">
                  <c:v>TN</c:v>
                </c:pt>
              </c:strCache>
            </c:strRef>
          </c:cat>
          <c:val>
            <c:numRef>
              <c:f>'4_2.4a-c_Total_Graphs'!$P$47:$T$47</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3-BB57-9742-9A68-0C516284CF83}"/>
            </c:ext>
          </c:extLst>
        </c:ser>
        <c:dLbls>
          <c:showLegendKey val="0"/>
          <c:showVal val="0"/>
          <c:showCatName val="0"/>
          <c:showSerName val="0"/>
          <c:showPercent val="0"/>
          <c:showBubbleSize val="0"/>
        </c:dLbls>
        <c:gapWidth val="219"/>
        <c:overlap val="-27"/>
        <c:axId val="379060384"/>
        <c:axId val="379062112"/>
      </c:barChart>
      <c:catAx>
        <c:axId val="37906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4_2.4b. Heroin</a:t>
            </a:r>
            <a:r>
              <a:rPr lang="en-US" baseline="0"/>
              <a:t> Overdoses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'4_2.4a-c_Total_Graphs'!$I$50</c:f>
              <c:strCache>
                <c:ptCount val="1"/>
                <c:pt idx="0">
                  <c:v>First diagnosis code</c:v>
                </c:pt>
              </c:strCache>
            </c:strRef>
          </c:tx>
          <c:spPr>
            <a:solidFill>
              <a:schemeClr val="accent1"/>
            </a:solidFill>
            <a:ln>
              <a:noFill/>
            </a:ln>
            <a:effectLst/>
          </c:spPr>
          <c:invertIfNegative val="0"/>
          <c:cat>
            <c:strRef>
              <c:f>'4_2.4a-c_Total_Graphs'!$P$49:$T$49</c:f>
              <c:strCache>
                <c:ptCount val="5"/>
                <c:pt idx="0">
                  <c:v>CO</c:v>
                </c:pt>
                <c:pt idx="1">
                  <c:v>KY</c:v>
                </c:pt>
                <c:pt idx="2">
                  <c:v>LA</c:v>
                </c:pt>
                <c:pt idx="3">
                  <c:v>NM</c:v>
                </c:pt>
                <c:pt idx="4">
                  <c:v>TN</c:v>
                </c:pt>
              </c:strCache>
            </c:strRef>
          </c:cat>
          <c:val>
            <c:numRef>
              <c:f>'4_2.4a-c_Total_Graphs'!$P$50:$T$50</c:f>
              <c:numCache>
                <c:formatCode>0%</c:formatCode>
                <c:ptCount val="5"/>
                <c:pt idx="0">
                  <c:v>0.90364583333333337</c:v>
                </c:pt>
                <c:pt idx="1">
                  <c:v>0.95133237593745013</c:v>
                </c:pt>
                <c:pt idx="2">
                  <c:v>0.71405492730210018</c:v>
                </c:pt>
                <c:pt idx="3">
                  <c:v>0.84557721139430286</c:v>
                </c:pt>
                <c:pt idx="4">
                  <c:v>0.87151162790697678</c:v>
                </c:pt>
              </c:numCache>
            </c:numRef>
          </c:val>
          <c:extLst>
            <c:ext xmlns:c16="http://schemas.microsoft.com/office/drawing/2014/chart" uri="{C3380CC4-5D6E-409C-BE32-E72D297353CC}">
              <c16:uniqueId val="{00000000-0DC3-3B42-BF77-4CE1DF7DA004}"/>
            </c:ext>
          </c:extLst>
        </c:ser>
        <c:ser>
          <c:idx val="1"/>
          <c:order val="1"/>
          <c:tx>
            <c:strRef>
              <c:f>'4_2.4a-c_Total_Graphs'!$I$51</c:f>
              <c:strCache>
                <c:ptCount val="1"/>
                <c:pt idx="0">
                  <c:v>First 5 diagnosis codes</c:v>
                </c:pt>
              </c:strCache>
            </c:strRef>
          </c:tx>
          <c:spPr>
            <a:solidFill>
              <a:schemeClr val="accent2"/>
            </a:solidFill>
            <a:ln>
              <a:noFill/>
            </a:ln>
            <a:effectLst/>
          </c:spPr>
          <c:invertIfNegative val="0"/>
          <c:cat>
            <c:strRef>
              <c:f>'4_2.4a-c_Total_Graphs'!$P$49:$T$49</c:f>
              <c:strCache>
                <c:ptCount val="5"/>
                <c:pt idx="0">
                  <c:v>CO</c:v>
                </c:pt>
                <c:pt idx="1">
                  <c:v>KY</c:v>
                </c:pt>
                <c:pt idx="2">
                  <c:v>LA</c:v>
                </c:pt>
                <c:pt idx="3">
                  <c:v>NM</c:v>
                </c:pt>
                <c:pt idx="4">
                  <c:v>TN</c:v>
                </c:pt>
              </c:strCache>
            </c:strRef>
          </c:cat>
          <c:val>
            <c:numRef>
              <c:f>'4_2.4a-c_Total_Graphs'!$P$51:$T$51</c:f>
              <c:numCache>
                <c:formatCode>0%</c:formatCode>
                <c:ptCount val="5"/>
                <c:pt idx="0">
                  <c:v>0.99479166666666663</c:v>
                </c:pt>
                <c:pt idx="1">
                  <c:v>0.99904260411680235</c:v>
                </c:pt>
                <c:pt idx="2">
                  <c:v>1.0080775444264944</c:v>
                </c:pt>
                <c:pt idx="3">
                  <c:v>0.99100449775112442</c:v>
                </c:pt>
                <c:pt idx="4">
                  <c:v>1</c:v>
                </c:pt>
              </c:numCache>
            </c:numRef>
          </c:val>
          <c:extLst>
            <c:ext xmlns:c16="http://schemas.microsoft.com/office/drawing/2014/chart" uri="{C3380CC4-5D6E-409C-BE32-E72D297353CC}">
              <c16:uniqueId val="{00000001-0DC3-3B42-BF77-4CE1DF7DA004}"/>
            </c:ext>
          </c:extLst>
        </c:ser>
        <c:ser>
          <c:idx val="2"/>
          <c:order val="2"/>
          <c:tx>
            <c:strRef>
              <c:f>'4_2.4a-c_Total_Graphs'!$I$52</c:f>
              <c:strCache>
                <c:ptCount val="1"/>
                <c:pt idx="0">
                  <c:v>First 10 diagnosis codes</c:v>
                </c:pt>
              </c:strCache>
            </c:strRef>
          </c:tx>
          <c:spPr>
            <a:solidFill>
              <a:schemeClr val="accent3"/>
            </a:solidFill>
            <a:ln>
              <a:noFill/>
            </a:ln>
            <a:effectLst/>
          </c:spPr>
          <c:invertIfNegative val="0"/>
          <c:cat>
            <c:strRef>
              <c:f>'4_2.4a-c_Total_Graphs'!$P$49:$T$49</c:f>
              <c:strCache>
                <c:ptCount val="5"/>
                <c:pt idx="0">
                  <c:v>CO</c:v>
                </c:pt>
                <c:pt idx="1">
                  <c:v>KY</c:v>
                </c:pt>
                <c:pt idx="2">
                  <c:v>LA</c:v>
                </c:pt>
                <c:pt idx="3">
                  <c:v>NM</c:v>
                </c:pt>
                <c:pt idx="4">
                  <c:v>TN</c:v>
                </c:pt>
              </c:strCache>
            </c:strRef>
          </c:cat>
          <c:val>
            <c:numRef>
              <c:f>'4_2.4a-c_Total_Graphs'!$P$52:$T$52</c:f>
              <c:numCache>
                <c:formatCode>0%</c:formatCode>
                <c:ptCount val="5"/>
                <c:pt idx="0">
                  <c:v>1</c:v>
                </c:pt>
                <c:pt idx="1">
                  <c:v>0.99984043401946709</c:v>
                </c:pt>
                <c:pt idx="2">
                  <c:v>0.95234248788368336</c:v>
                </c:pt>
                <c:pt idx="3">
                  <c:v>1</c:v>
                </c:pt>
                <c:pt idx="4">
                  <c:v>0.99709302325581395</c:v>
                </c:pt>
              </c:numCache>
            </c:numRef>
          </c:val>
          <c:extLst>
            <c:ext xmlns:c16="http://schemas.microsoft.com/office/drawing/2014/chart" uri="{C3380CC4-5D6E-409C-BE32-E72D297353CC}">
              <c16:uniqueId val="{00000002-0DC3-3B42-BF77-4CE1DF7DA004}"/>
            </c:ext>
          </c:extLst>
        </c:ser>
        <c:ser>
          <c:idx val="3"/>
          <c:order val="3"/>
          <c:tx>
            <c:strRef>
              <c:f>'4_2.4a-c_Total_Graphs'!$I$53</c:f>
              <c:strCache>
                <c:ptCount val="1"/>
                <c:pt idx="0">
                  <c:v>All available diagnosis codes</c:v>
                </c:pt>
              </c:strCache>
            </c:strRef>
          </c:tx>
          <c:spPr>
            <a:solidFill>
              <a:schemeClr val="accent4"/>
            </a:solidFill>
            <a:ln>
              <a:noFill/>
            </a:ln>
            <a:effectLst/>
          </c:spPr>
          <c:invertIfNegative val="0"/>
          <c:cat>
            <c:strRef>
              <c:f>'4_2.4a-c_Total_Graphs'!$P$49:$T$49</c:f>
              <c:strCache>
                <c:ptCount val="5"/>
                <c:pt idx="0">
                  <c:v>CO</c:v>
                </c:pt>
                <c:pt idx="1">
                  <c:v>KY</c:v>
                </c:pt>
                <c:pt idx="2">
                  <c:v>LA</c:v>
                </c:pt>
                <c:pt idx="3">
                  <c:v>NM</c:v>
                </c:pt>
                <c:pt idx="4">
                  <c:v>TN</c:v>
                </c:pt>
              </c:strCache>
            </c:strRef>
          </c:cat>
          <c:val>
            <c:numRef>
              <c:f>'4_2.4a-c_Total_Graphs'!$P$53:$T$53</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3-0DC3-3B42-BF77-4CE1DF7DA004}"/>
            </c:ext>
          </c:extLst>
        </c:ser>
        <c:dLbls>
          <c:showLegendKey val="0"/>
          <c:showVal val="0"/>
          <c:showCatName val="0"/>
          <c:showSerName val="0"/>
          <c:showPercent val="0"/>
          <c:showBubbleSize val="0"/>
        </c:dLbls>
        <c:gapWidth val="219"/>
        <c:overlap val="-27"/>
        <c:axId val="868423552"/>
        <c:axId val="898155792"/>
      </c:barChart>
      <c:catAx>
        <c:axId val="868423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8155792"/>
        <c:crosses val="autoZero"/>
        <c:auto val="1"/>
        <c:lblAlgn val="ctr"/>
        <c:lblOffset val="100"/>
        <c:noMultiLvlLbl val="0"/>
      </c:catAx>
      <c:valAx>
        <c:axId val="898155792"/>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8423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4_2.4c. All Drug Overdoses by Manner/Intent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'4_2.4c manner'!$I$4</c:f>
              <c:strCache>
                <c:ptCount val="1"/>
                <c:pt idx="0">
                  <c:v>Unintentional</c:v>
                </c:pt>
              </c:strCache>
            </c:strRef>
          </c:tx>
          <c:spPr>
            <a:solidFill>
              <a:schemeClr val="accent1"/>
            </a:solidFill>
            <a:ln>
              <a:noFill/>
            </a:ln>
            <a:effectLst/>
          </c:spPr>
          <c:invertIfNegative val="0"/>
          <c:cat>
            <c:strRef>
              <c:f>'4_2.4c manner'!$H$5:$H$9</c:f>
              <c:strCache>
                <c:ptCount val="5"/>
                <c:pt idx="0">
                  <c:v>CO</c:v>
                </c:pt>
                <c:pt idx="1">
                  <c:v>KY</c:v>
                </c:pt>
                <c:pt idx="2">
                  <c:v>LA</c:v>
                </c:pt>
                <c:pt idx="3">
                  <c:v>NM</c:v>
                </c:pt>
                <c:pt idx="4">
                  <c:v>TN</c:v>
                </c:pt>
              </c:strCache>
            </c:strRef>
          </c:cat>
          <c:val>
            <c:numRef>
              <c:f>'4_2.4c manner'!$I$5:$I$9</c:f>
              <c:numCache>
                <c:formatCode>###,###,##0</c:formatCode>
                <c:ptCount val="5"/>
                <c:pt idx="0">
                  <c:v>4961</c:v>
                </c:pt>
                <c:pt idx="1">
                  <c:v>28344</c:v>
                </c:pt>
                <c:pt idx="2" formatCode="#,##0">
                  <c:v>7792</c:v>
                </c:pt>
                <c:pt idx="3">
                  <c:v>2896</c:v>
                </c:pt>
                <c:pt idx="4">
                  <c:v>11828</c:v>
                </c:pt>
              </c:numCache>
            </c:numRef>
          </c:val>
          <c:extLst>
            <c:ext xmlns:c16="http://schemas.microsoft.com/office/drawing/2014/chart" uri="{C3380CC4-5D6E-409C-BE32-E72D297353CC}">
              <c16:uniqueId val="{00000000-A50A-45DF-9FC7-161E0056E910}"/>
            </c:ext>
          </c:extLst>
        </c:ser>
        <c:ser>
          <c:idx val="1"/>
          <c:order val="1"/>
          <c:tx>
            <c:strRef>
              <c:f>'4_2.4c manner'!$J$4</c:f>
              <c:strCache>
                <c:ptCount val="1"/>
                <c:pt idx="0">
                  <c:v>Self-Harm</c:v>
                </c:pt>
              </c:strCache>
            </c:strRef>
          </c:tx>
          <c:spPr>
            <a:solidFill>
              <a:schemeClr val="accent2"/>
            </a:solidFill>
            <a:ln>
              <a:noFill/>
            </a:ln>
            <a:effectLst/>
          </c:spPr>
          <c:invertIfNegative val="0"/>
          <c:cat>
            <c:strRef>
              <c:f>'4_2.4c manner'!$H$5:$H$9</c:f>
              <c:strCache>
                <c:ptCount val="5"/>
                <c:pt idx="0">
                  <c:v>CO</c:v>
                </c:pt>
                <c:pt idx="1">
                  <c:v>KY</c:v>
                </c:pt>
                <c:pt idx="2">
                  <c:v>LA</c:v>
                </c:pt>
                <c:pt idx="3">
                  <c:v>NM</c:v>
                </c:pt>
                <c:pt idx="4">
                  <c:v>TN</c:v>
                </c:pt>
              </c:strCache>
            </c:strRef>
          </c:cat>
          <c:val>
            <c:numRef>
              <c:f>'4_2.4c manner'!$J$5:$J$9</c:f>
              <c:numCache>
                <c:formatCode>###,###,##0</c:formatCode>
                <c:ptCount val="5"/>
                <c:pt idx="0">
                  <c:v>3418</c:v>
                </c:pt>
                <c:pt idx="1">
                  <c:v>6305</c:v>
                </c:pt>
                <c:pt idx="2" formatCode="#,##0">
                  <c:v>3151</c:v>
                </c:pt>
                <c:pt idx="3">
                  <c:v>1526</c:v>
                </c:pt>
                <c:pt idx="4">
                  <c:v>5512</c:v>
                </c:pt>
              </c:numCache>
            </c:numRef>
          </c:val>
          <c:extLst>
            <c:ext xmlns:c16="http://schemas.microsoft.com/office/drawing/2014/chart" uri="{C3380CC4-5D6E-409C-BE32-E72D297353CC}">
              <c16:uniqueId val="{00000001-A50A-45DF-9FC7-161E0056E910}"/>
            </c:ext>
          </c:extLst>
        </c:ser>
        <c:ser>
          <c:idx val="2"/>
          <c:order val="2"/>
          <c:tx>
            <c:strRef>
              <c:f>'4_2.4c manner'!$K$4</c:f>
              <c:strCache>
                <c:ptCount val="1"/>
                <c:pt idx="0">
                  <c:v>Assault</c:v>
                </c:pt>
              </c:strCache>
            </c:strRef>
          </c:tx>
          <c:spPr>
            <a:solidFill>
              <a:schemeClr val="accent3"/>
            </a:solidFill>
            <a:ln>
              <a:noFill/>
            </a:ln>
            <a:effectLst/>
          </c:spPr>
          <c:invertIfNegative val="0"/>
          <c:cat>
            <c:strRef>
              <c:f>'4_2.4c manner'!$H$5:$H$9</c:f>
              <c:strCache>
                <c:ptCount val="5"/>
                <c:pt idx="0">
                  <c:v>CO</c:v>
                </c:pt>
                <c:pt idx="1">
                  <c:v>KY</c:v>
                </c:pt>
                <c:pt idx="2">
                  <c:v>LA</c:v>
                </c:pt>
                <c:pt idx="3">
                  <c:v>NM</c:v>
                </c:pt>
                <c:pt idx="4">
                  <c:v>TN</c:v>
                </c:pt>
              </c:strCache>
            </c:strRef>
          </c:cat>
          <c:val>
            <c:numRef>
              <c:f>'4_2.4c manner'!$K$5:$K$9</c:f>
              <c:numCache>
                <c:formatCode>###,###,##0</c:formatCode>
                <c:ptCount val="5"/>
                <c:pt idx="0">
                  <c:v>31</c:v>
                </c:pt>
                <c:pt idx="1">
                  <c:v>83</c:v>
                </c:pt>
                <c:pt idx="2" formatCode="General">
                  <c:v>33</c:v>
                </c:pt>
                <c:pt idx="3">
                  <c:v>17</c:v>
                </c:pt>
                <c:pt idx="4">
                  <c:v>55</c:v>
                </c:pt>
              </c:numCache>
            </c:numRef>
          </c:val>
          <c:extLst>
            <c:ext xmlns:c16="http://schemas.microsoft.com/office/drawing/2014/chart" uri="{C3380CC4-5D6E-409C-BE32-E72D297353CC}">
              <c16:uniqueId val="{00000002-A50A-45DF-9FC7-161E0056E910}"/>
            </c:ext>
          </c:extLst>
        </c:ser>
        <c:ser>
          <c:idx val="3"/>
          <c:order val="3"/>
          <c:tx>
            <c:strRef>
              <c:f>'4_2.4c manner'!$L$4</c:f>
              <c:strCache>
                <c:ptCount val="1"/>
                <c:pt idx="0">
                  <c:v>Undetermined</c:v>
                </c:pt>
              </c:strCache>
            </c:strRef>
          </c:tx>
          <c:spPr>
            <a:solidFill>
              <a:schemeClr val="accent4"/>
            </a:solidFill>
            <a:ln>
              <a:noFill/>
            </a:ln>
            <a:effectLst/>
          </c:spPr>
          <c:invertIfNegative val="0"/>
          <c:cat>
            <c:strRef>
              <c:f>'4_2.4c manner'!$H$5:$H$9</c:f>
              <c:strCache>
                <c:ptCount val="5"/>
                <c:pt idx="0">
                  <c:v>CO</c:v>
                </c:pt>
                <c:pt idx="1">
                  <c:v>KY</c:v>
                </c:pt>
                <c:pt idx="2">
                  <c:v>LA</c:v>
                </c:pt>
                <c:pt idx="3">
                  <c:v>NM</c:v>
                </c:pt>
                <c:pt idx="4">
                  <c:v>TN</c:v>
                </c:pt>
              </c:strCache>
            </c:strRef>
          </c:cat>
          <c:val>
            <c:numRef>
              <c:f>'4_2.4c manner'!$L$5:$L$9</c:f>
              <c:numCache>
                <c:formatCode>###,###,##0</c:formatCode>
                <c:ptCount val="5"/>
                <c:pt idx="0">
                  <c:v>671</c:v>
                </c:pt>
                <c:pt idx="1">
                  <c:v>1435</c:v>
                </c:pt>
                <c:pt idx="2" formatCode="General">
                  <c:v>635</c:v>
                </c:pt>
                <c:pt idx="3">
                  <c:v>223</c:v>
                </c:pt>
                <c:pt idx="4">
                  <c:v>729</c:v>
                </c:pt>
              </c:numCache>
            </c:numRef>
          </c:val>
          <c:extLst>
            <c:ext xmlns:c16="http://schemas.microsoft.com/office/drawing/2014/chart" uri="{C3380CC4-5D6E-409C-BE32-E72D297353CC}">
              <c16:uniqueId val="{00000003-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4_2.4c. Non-heroin Opioid Overdoses by Manner/Intent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'4_2.4c manner'!$I$14</c:f>
              <c:strCache>
                <c:ptCount val="1"/>
                <c:pt idx="0">
                  <c:v>Unintentional</c:v>
                </c:pt>
              </c:strCache>
            </c:strRef>
          </c:tx>
          <c:spPr>
            <a:solidFill>
              <a:schemeClr val="accent1"/>
            </a:solidFill>
            <a:ln>
              <a:noFill/>
            </a:ln>
            <a:effectLst/>
          </c:spPr>
          <c:invertIfNegative val="0"/>
          <c:cat>
            <c:strRef>
              <c:f>'4_2.4c manner'!$H$15:$H$19</c:f>
              <c:strCache>
                <c:ptCount val="5"/>
                <c:pt idx="0">
                  <c:v>CO</c:v>
                </c:pt>
                <c:pt idx="1">
                  <c:v>KY</c:v>
                </c:pt>
                <c:pt idx="2">
                  <c:v>LA</c:v>
                </c:pt>
                <c:pt idx="3">
                  <c:v>NM</c:v>
                </c:pt>
                <c:pt idx="4">
                  <c:v>TN</c:v>
                </c:pt>
              </c:strCache>
            </c:strRef>
          </c:cat>
          <c:val>
            <c:numRef>
              <c:f>'4_2.4c manner'!$I$15:$I$19</c:f>
              <c:numCache>
                <c:formatCode>###,###,##0</c:formatCode>
                <c:ptCount val="5"/>
                <c:pt idx="0">
                  <c:v>671</c:v>
                </c:pt>
                <c:pt idx="1">
                  <c:v>3800</c:v>
                </c:pt>
                <c:pt idx="2" formatCode="#,##0">
                  <c:v>1444</c:v>
                </c:pt>
                <c:pt idx="3">
                  <c:v>578</c:v>
                </c:pt>
                <c:pt idx="4">
                  <c:v>2123</c:v>
                </c:pt>
              </c:numCache>
            </c:numRef>
          </c:val>
          <c:extLst>
            <c:ext xmlns:c16="http://schemas.microsoft.com/office/drawing/2014/chart" uri="{C3380CC4-5D6E-409C-BE32-E72D297353CC}">
              <c16:uniqueId val="{00000000-A50A-45DF-9FC7-161E0056E910}"/>
            </c:ext>
          </c:extLst>
        </c:ser>
        <c:ser>
          <c:idx val="1"/>
          <c:order val="1"/>
          <c:tx>
            <c:strRef>
              <c:f>'4_2.4c manner'!$J$14</c:f>
              <c:strCache>
                <c:ptCount val="1"/>
                <c:pt idx="0">
                  <c:v>Self-Harm</c:v>
                </c:pt>
              </c:strCache>
            </c:strRef>
          </c:tx>
          <c:spPr>
            <a:solidFill>
              <a:schemeClr val="accent2"/>
            </a:solidFill>
            <a:ln>
              <a:noFill/>
            </a:ln>
            <a:effectLst/>
          </c:spPr>
          <c:invertIfNegative val="0"/>
          <c:cat>
            <c:strRef>
              <c:f>'4_2.4c manner'!$H$15:$H$19</c:f>
              <c:strCache>
                <c:ptCount val="5"/>
                <c:pt idx="0">
                  <c:v>CO</c:v>
                </c:pt>
                <c:pt idx="1">
                  <c:v>KY</c:v>
                </c:pt>
                <c:pt idx="2">
                  <c:v>LA</c:v>
                </c:pt>
                <c:pt idx="3">
                  <c:v>NM</c:v>
                </c:pt>
                <c:pt idx="4">
                  <c:v>TN</c:v>
                </c:pt>
              </c:strCache>
            </c:strRef>
          </c:cat>
          <c:val>
            <c:numRef>
              <c:f>'4_2.4c manner'!$J$15:$J$19</c:f>
              <c:numCache>
                <c:formatCode>###,###,##0</c:formatCode>
                <c:ptCount val="5"/>
                <c:pt idx="0">
                  <c:v>274</c:v>
                </c:pt>
                <c:pt idx="1">
                  <c:v>389</c:v>
                </c:pt>
                <c:pt idx="2" formatCode="General">
                  <c:v>276</c:v>
                </c:pt>
                <c:pt idx="3">
                  <c:v>169</c:v>
                </c:pt>
                <c:pt idx="4">
                  <c:v>499</c:v>
                </c:pt>
              </c:numCache>
            </c:numRef>
          </c:val>
          <c:extLst>
            <c:ext xmlns:c16="http://schemas.microsoft.com/office/drawing/2014/chart" uri="{C3380CC4-5D6E-409C-BE32-E72D297353CC}">
              <c16:uniqueId val="{00000001-A50A-45DF-9FC7-161E0056E910}"/>
            </c:ext>
          </c:extLst>
        </c:ser>
        <c:ser>
          <c:idx val="2"/>
          <c:order val="2"/>
          <c:tx>
            <c:strRef>
              <c:f>'4_2.4c manner'!$K$14</c:f>
              <c:strCache>
                <c:ptCount val="1"/>
                <c:pt idx="0">
                  <c:v>Assault</c:v>
                </c:pt>
              </c:strCache>
            </c:strRef>
          </c:tx>
          <c:spPr>
            <a:solidFill>
              <a:schemeClr val="accent3"/>
            </a:solidFill>
            <a:ln>
              <a:noFill/>
            </a:ln>
            <a:effectLst/>
          </c:spPr>
          <c:invertIfNegative val="0"/>
          <c:cat>
            <c:strRef>
              <c:f>'4_2.4c manner'!$H$15:$H$19</c:f>
              <c:strCache>
                <c:ptCount val="5"/>
                <c:pt idx="0">
                  <c:v>CO</c:v>
                </c:pt>
                <c:pt idx="1">
                  <c:v>KY</c:v>
                </c:pt>
                <c:pt idx="2">
                  <c:v>LA</c:v>
                </c:pt>
                <c:pt idx="3">
                  <c:v>NM</c:v>
                </c:pt>
                <c:pt idx="4">
                  <c:v>TN</c:v>
                </c:pt>
              </c:strCache>
            </c:strRef>
          </c:cat>
          <c:val>
            <c:numRef>
              <c:f>'4_2.4c manner'!$K$15:$K$19</c:f>
              <c:numCache>
                <c:formatCode>###,###,##0</c:formatCode>
                <c:ptCount val="5"/>
                <c:pt idx="0">
                  <c:v>1</c:v>
                </c:pt>
                <c:pt idx="1">
                  <c:v>6</c:v>
                </c:pt>
                <c:pt idx="2" formatCode="General">
                  <c:v>3</c:v>
                </c:pt>
                <c:pt idx="3">
                  <c:v>0</c:v>
                </c:pt>
                <c:pt idx="4">
                  <c:v>6</c:v>
                </c:pt>
              </c:numCache>
            </c:numRef>
          </c:val>
          <c:extLst>
            <c:ext xmlns:c16="http://schemas.microsoft.com/office/drawing/2014/chart" uri="{C3380CC4-5D6E-409C-BE32-E72D297353CC}">
              <c16:uniqueId val="{00000002-A50A-45DF-9FC7-161E0056E910}"/>
            </c:ext>
          </c:extLst>
        </c:ser>
        <c:ser>
          <c:idx val="3"/>
          <c:order val="3"/>
          <c:tx>
            <c:strRef>
              <c:f>'4_2.4c manner'!$L$14</c:f>
              <c:strCache>
                <c:ptCount val="1"/>
                <c:pt idx="0">
                  <c:v>Undetermined</c:v>
                </c:pt>
              </c:strCache>
            </c:strRef>
          </c:tx>
          <c:spPr>
            <a:solidFill>
              <a:schemeClr val="accent4"/>
            </a:solidFill>
            <a:ln>
              <a:noFill/>
            </a:ln>
            <a:effectLst/>
          </c:spPr>
          <c:invertIfNegative val="0"/>
          <c:cat>
            <c:strRef>
              <c:f>'4_2.4c manner'!$H$15:$H$19</c:f>
              <c:strCache>
                <c:ptCount val="5"/>
                <c:pt idx="0">
                  <c:v>CO</c:v>
                </c:pt>
                <c:pt idx="1">
                  <c:v>KY</c:v>
                </c:pt>
                <c:pt idx="2">
                  <c:v>LA</c:v>
                </c:pt>
                <c:pt idx="3">
                  <c:v>NM</c:v>
                </c:pt>
                <c:pt idx="4">
                  <c:v>TN</c:v>
                </c:pt>
              </c:strCache>
            </c:strRef>
          </c:cat>
          <c:val>
            <c:numRef>
              <c:f>'4_2.4c manner'!$L$15:$L$19</c:f>
              <c:numCache>
                <c:formatCode>###,###,##0</c:formatCode>
                <c:ptCount val="5"/>
                <c:pt idx="0">
                  <c:v>84</c:v>
                </c:pt>
                <c:pt idx="1">
                  <c:v>182</c:v>
                </c:pt>
                <c:pt idx="2" formatCode="General">
                  <c:v>118</c:v>
                </c:pt>
                <c:pt idx="3">
                  <c:v>38</c:v>
                </c:pt>
                <c:pt idx="4">
                  <c:v>134</c:v>
                </c:pt>
              </c:numCache>
            </c:numRef>
          </c:val>
          <c:extLst>
            <c:ext xmlns:c16="http://schemas.microsoft.com/office/drawing/2014/chart" uri="{C3380CC4-5D6E-409C-BE32-E72D297353CC}">
              <c16:uniqueId val="{00000003-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4_2.4c. Heroin Overdoses by Manner/Intent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'4_2.4c manner'!$I$24</c:f>
              <c:strCache>
                <c:ptCount val="1"/>
                <c:pt idx="0">
                  <c:v>Unintentional</c:v>
                </c:pt>
              </c:strCache>
            </c:strRef>
          </c:tx>
          <c:spPr>
            <a:solidFill>
              <a:schemeClr val="accent1"/>
            </a:solidFill>
            <a:ln>
              <a:noFill/>
            </a:ln>
            <a:effectLst/>
          </c:spPr>
          <c:invertIfNegative val="0"/>
          <c:cat>
            <c:strRef>
              <c:f>'4_2.4c manner'!$H$25:$H$29</c:f>
              <c:strCache>
                <c:ptCount val="5"/>
                <c:pt idx="0">
                  <c:v>CO</c:v>
                </c:pt>
                <c:pt idx="1">
                  <c:v>KY</c:v>
                </c:pt>
                <c:pt idx="2">
                  <c:v>LA</c:v>
                </c:pt>
                <c:pt idx="3">
                  <c:v>NM</c:v>
                </c:pt>
                <c:pt idx="4">
                  <c:v>TN</c:v>
                </c:pt>
              </c:strCache>
            </c:strRef>
          </c:cat>
          <c:val>
            <c:numRef>
              <c:f>'4_2.4c manner'!$I$25:$I$29</c:f>
              <c:numCache>
                <c:formatCode>###,###,##0</c:formatCode>
                <c:ptCount val="5"/>
                <c:pt idx="0">
                  <c:v>657</c:v>
                </c:pt>
                <c:pt idx="1">
                  <c:v>12029</c:v>
                </c:pt>
                <c:pt idx="2" formatCode="#,##0">
                  <c:v>1103</c:v>
                </c:pt>
                <c:pt idx="3">
                  <c:v>594</c:v>
                </c:pt>
                <c:pt idx="4">
                  <c:v>1538</c:v>
                </c:pt>
              </c:numCache>
            </c:numRef>
          </c:val>
          <c:extLst>
            <c:ext xmlns:c16="http://schemas.microsoft.com/office/drawing/2014/chart" uri="{C3380CC4-5D6E-409C-BE32-E72D297353CC}">
              <c16:uniqueId val="{00000000-A50A-45DF-9FC7-161E0056E910}"/>
            </c:ext>
          </c:extLst>
        </c:ser>
        <c:ser>
          <c:idx val="1"/>
          <c:order val="1"/>
          <c:tx>
            <c:strRef>
              <c:f>'4_2.4c manner'!$J$24</c:f>
              <c:strCache>
                <c:ptCount val="1"/>
                <c:pt idx="0">
                  <c:v>Self-Harm</c:v>
                </c:pt>
              </c:strCache>
            </c:strRef>
          </c:tx>
          <c:spPr>
            <a:solidFill>
              <a:schemeClr val="accent2"/>
            </a:solidFill>
            <a:ln>
              <a:noFill/>
            </a:ln>
            <a:effectLst/>
          </c:spPr>
          <c:invertIfNegative val="0"/>
          <c:cat>
            <c:strRef>
              <c:f>'4_2.4c manner'!$H$25:$H$29</c:f>
              <c:strCache>
                <c:ptCount val="5"/>
                <c:pt idx="0">
                  <c:v>CO</c:v>
                </c:pt>
                <c:pt idx="1">
                  <c:v>KY</c:v>
                </c:pt>
                <c:pt idx="2">
                  <c:v>LA</c:v>
                </c:pt>
                <c:pt idx="3">
                  <c:v>NM</c:v>
                </c:pt>
                <c:pt idx="4">
                  <c:v>TN</c:v>
                </c:pt>
              </c:strCache>
            </c:strRef>
          </c:cat>
          <c:val>
            <c:numRef>
              <c:f>'4_2.4c manner'!$J$25:$J$29</c:f>
              <c:numCache>
                <c:formatCode>###,###,##0</c:formatCode>
                <c:ptCount val="5"/>
                <c:pt idx="0">
                  <c:v>31</c:v>
                </c:pt>
                <c:pt idx="1">
                  <c:v>222</c:v>
                </c:pt>
                <c:pt idx="2" formatCode="General">
                  <c:v>70</c:v>
                </c:pt>
                <c:pt idx="3">
                  <c:v>40</c:v>
                </c:pt>
                <c:pt idx="4">
                  <c:v>102</c:v>
                </c:pt>
              </c:numCache>
            </c:numRef>
          </c:val>
          <c:extLst>
            <c:ext xmlns:c16="http://schemas.microsoft.com/office/drawing/2014/chart" uri="{C3380CC4-5D6E-409C-BE32-E72D297353CC}">
              <c16:uniqueId val="{00000001-A50A-45DF-9FC7-161E0056E910}"/>
            </c:ext>
          </c:extLst>
        </c:ser>
        <c:ser>
          <c:idx val="2"/>
          <c:order val="2"/>
          <c:tx>
            <c:strRef>
              <c:f>'4_2.4c manner'!$K$24</c:f>
              <c:strCache>
                <c:ptCount val="1"/>
                <c:pt idx="0">
                  <c:v>Assault</c:v>
                </c:pt>
              </c:strCache>
            </c:strRef>
          </c:tx>
          <c:spPr>
            <a:solidFill>
              <a:schemeClr val="accent3"/>
            </a:solidFill>
            <a:ln>
              <a:noFill/>
            </a:ln>
            <a:effectLst/>
          </c:spPr>
          <c:invertIfNegative val="0"/>
          <c:cat>
            <c:strRef>
              <c:f>'4_2.4c manner'!$H$25:$H$29</c:f>
              <c:strCache>
                <c:ptCount val="5"/>
                <c:pt idx="0">
                  <c:v>CO</c:v>
                </c:pt>
                <c:pt idx="1">
                  <c:v>KY</c:v>
                </c:pt>
                <c:pt idx="2">
                  <c:v>LA</c:v>
                </c:pt>
                <c:pt idx="3">
                  <c:v>NM</c:v>
                </c:pt>
                <c:pt idx="4">
                  <c:v>TN</c:v>
                </c:pt>
              </c:strCache>
            </c:strRef>
          </c:cat>
          <c:val>
            <c:numRef>
              <c:f>'4_2.4c manner'!$K$25:$K$29</c:f>
              <c:numCache>
                <c:formatCode>###,###,##0</c:formatCode>
                <c:ptCount val="5"/>
                <c:pt idx="0">
                  <c:v>2</c:v>
                </c:pt>
                <c:pt idx="1">
                  <c:v>10</c:v>
                </c:pt>
                <c:pt idx="2" formatCode="General">
                  <c:v>0</c:v>
                </c:pt>
                <c:pt idx="3">
                  <c:v>0</c:v>
                </c:pt>
                <c:pt idx="4">
                  <c:v>2</c:v>
                </c:pt>
              </c:numCache>
            </c:numRef>
          </c:val>
          <c:extLst>
            <c:ext xmlns:c16="http://schemas.microsoft.com/office/drawing/2014/chart" uri="{C3380CC4-5D6E-409C-BE32-E72D297353CC}">
              <c16:uniqueId val="{00000002-A50A-45DF-9FC7-161E0056E910}"/>
            </c:ext>
          </c:extLst>
        </c:ser>
        <c:ser>
          <c:idx val="3"/>
          <c:order val="3"/>
          <c:tx>
            <c:strRef>
              <c:f>'4_2.4c manner'!$L$24</c:f>
              <c:strCache>
                <c:ptCount val="1"/>
                <c:pt idx="0">
                  <c:v>Undetermined</c:v>
                </c:pt>
              </c:strCache>
            </c:strRef>
          </c:tx>
          <c:spPr>
            <a:solidFill>
              <a:schemeClr val="accent4"/>
            </a:solidFill>
            <a:ln>
              <a:noFill/>
            </a:ln>
            <a:effectLst/>
          </c:spPr>
          <c:invertIfNegative val="0"/>
          <c:cat>
            <c:strRef>
              <c:f>'4_2.4c manner'!$H$25:$H$29</c:f>
              <c:strCache>
                <c:ptCount val="5"/>
                <c:pt idx="0">
                  <c:v>CO</c:v>
                </c:pt>
                <c:pt idx="1">
                  <c:v>KY</c:v>
                </c:pt>
                <c:pt idx="2">
                  <c:v>LA</c:v>
                </c:pt>
                <c:pt idx="3">
                  <c:v>NM</c:v>
                </c:pt>
                <c:pt idx="4">
                  <c:v>TN</c:v>
                </c:pt>
              </c:strCache>
            </c:strRef>
          </c:cat>
          <c:val>
            <c:numRef>
              <c:f>'4_2.4c manner'!$L$25:$L$29</c:f>
              <c:numCache>
                <c:formatCode>###,###,##0</c:formatCode>
                <c:ptCount val="5"/>
                <c:pt idx="0">
                  <c:v>78</c:v>
                </c:pt>
                <c:pt idx="1">
                  <c:v>273</c:v>
                </c:pt>
                <c:pt idx="2" formatCode="General">
                  <c:v>75</c:v>
                </c:pt>
                <c:pt idx="3">
                  <c:v>33</c:v>
                </c:pt>
                <c:pt idx="4">
                  <c:v>78</c:v>
                </c:pt>
              </c:numCache>
            </c:numRef>
          </c:val>
          <c:extLst>
            <c:ext xmlns:c16="http://schemas.microsoft.com/office/drawing/2014/chart" uri="{C3380CC4-5D6E-409C-BE32-E72D297353CC}">
              <c16:uniqueId val="{00000003-A50A-45DF-9FC7-161E0056E910}"/>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Table 2.5</a:t>
            </a:r>
            <a:r>
              <a:rPr lang="en-US" baseline="0"/>
              <a:t> - Secondary</a:t>
            </a:r>
            <a:r>
              <a:rPr lang="en-US"/>
              <a:t> Cases,</a:t>
            </a:r>
            <a:r>
              <a:rPr lang="en-US" baseline="0"/>
              <a:t> B</a:t>
            </a:r>
            <a:r>
              <a:rPr lang="en-US"/>
              <a:t>y Quarter</a:t>
            </a:r>
          </a:p>
        </c:rich>
      </c:tx>
      <c:overlay val="0"/>
    </c:title>
    <c:autoTitleDeleted val="0"/>
    <c:plotArea>
      <c:layout/>
      <c:barChart>
        <c:barDir val="col"/>
        <c:grouping val="percentStacked"/>
        <c:varyColors val="0"/>
        <c:ser>
          <c:idx val="0"/>
          <c:order val="0"/>
          <c:tx>
            <c:strRef>
              <c:f>'4_2.5 Viz'!$C$1</c:f>
              <c:strCache>
                <c:ptCount val="1"/>
                <c:pt idx="0">
                  <c:v>Primary Dx of Drug Poisoing</c:v>
                </c:pt>
              </c:strCache>
            </c:strRef>
          </c:tx>
          <c:invertIfNegative val="0"/>
          <c:cat>
            <c:multiLvlStrRef>
              <c:f>'4_2.5 Viz'!$A$2:$B$15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'4_2.5 Viz'!$C$2:$C$15</c:f>
              <c:numCache>
                <c:formatCode>###,###,##0</c:formatCode>
                <c:ptCount val="14"/>
                <c:pt idx="0">
                  <c:v>1659</c:v>
                </c:pt>
                <c:pt idx="1">
                  <c:v>1906</c:v>
                </c:pt>
                <c:pt idx="2">
                  <c:v>1912</c:v>
                </c:pt>
                <c:pt idx="3">
                  <c:v>1857</c:v>
                </c:pt>
                <c:pt idx="5">
                  <c:v>2540</c:v>
                </c:pt>
                <c:pt idx="6">
                  <c:v>2910</c:v>
                </c:pt>
                <c:pt idx="7">
                  <c:v>3313</c:v>
                </c:pt>
                <c:pt idx="8">
                  <c:v>2875</c:v>
                </c:pt>
                <c:pt idx="10">
                  <c:v>887</c:v>
                </c:pt>
                <c:pt idx="11">
                  <c:v>987</c:v>
                </c:pt>
                <c:pt idx="12">
                  <c:v>907</c:v>
                </c:pt>
                <c:pt idx="13">
                  <c:v>950</c:v>
                </c:pt>
              </c:numCache>
            </c:numRef>
          </c:val>
          <c:extLst>
            <c:ext xmlns:c16="http://schemas.microsoft.com/office/drawing/2014/chart" uri="{C3380CC4-5D6E-409C-BE32-E72D297353CC}">
              <c16:uniqueId val="{00000000-A809-844F-8A87-85D23180947F}"/>
            </c:ext>
          </c:extLst>
        </c:ser>
        <c:ser>
          <c:idx val="1"/>
          <c:order val="1"/>
          <c:tx>
            <c:strRef>
              <c:f>'4_2.5 Viz'!$D$1</c:f>
              <c:strCache>
                <c:ptCount val="1"/>
                <c:pt idx="0">
                  <c:v>Secondary Dx of Drug Poisoing</c:v>
                </c:pt>
              </c:strCache>
            </c:strRef>
          </c:tx>
          <c:invertIfNegative val="0"/>
          <c:cat>
            <c:multiLvlStrRef>
              <c:f>'4_2.5 Viz'!$A$2:$B$15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'4_2.5 Viz'!$D$2:$D$15</c:f>
              <c:numCache>
                <c:formatCode>###,###,##0</c:formatCode>
                <c:ptCount val="14"/>
                <c:pt idx="0">
                  <c:v>449</c:v>
                </c:pt>
                <c:pt idx="1">
                  <c:v>438</c:v>
                </c:pt>
                <c:pt idx="2">
                  <c:v>426</c:v>
                </c:pt>
                <c:pt idx="3">
                  <c:v>439</c:v>
                </c:pt>
                <c:pt idx="5">
                  <c:v>353</c:v>
                </c:pt>
                <c:pt idx="6">
                  <c:v>420</c:v>
                </c:pt>
                <c:pt idx="7">
                  <c:v>420</c:v>
                </c:pt>
                <c:pt idx="8">
                  <c:v>367</c:v>
                </c:pt>
                <c:pt idx="10">
                  <c:v>255</c:v>
                </c:pt>
                <c:pt idx="11">
                  <c:v>285</c:v>
                </c:pt>
                <c:pt idx="12">
                  <c:v>236</c:v>
                </c:pt>
                <c:pt idx="13">
                  <c:v>182</c:v>
                </c:pt>
              </c:numCache>
            </c:numRef>
          </c:val>
          <c:extLst>
            <c:ext xmlns:c16="http://schemas.microsoft.com/office/drawing/2014/chart" uri="{C3380CC4-5D6E-409C-BE32-E72D297353CC}">
              <c16:uniqueId val="{00000001-A809-844F-8A87-85D23180947F}"/>
            </c:ext>
          </c:extLst>
        </c:ser>
        <c:ser>
          <c:idx val="2"/>
          <c:order val="2"/>
          <c:tx>
            <c:strRef>
              <c:f>'4_2.5 Viz'!$E$1</c:f>
              <c:strCache>
                <c:ptCount val="1"/>
                <c:pt idx="0">
                  <c:v>Cases Secondary Dx Drug Poisoning with  Dx Code Before Mechanism / Manner Code (Prin Dx,
External Cause Fields, Secondary Dx)</c:v>
                </c:pt>
              </c:strCache>
            </c:strRef>
          </c:tx>
          <c:invertIfNegative val="0"/>
          <c:cat>
            <c:multiLvlStrRef>
              <c:f>'4_2.5 Viz'!$A$2:$B$15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'4_2.5 Viz'!$E$2:$E$15</c:f>
              <c:numCache>
                <c:formatCode>###,###,##0</c:formatCode>
                <c:ptCount val="14"/>
                <c:pt idx="0">
                  <c:v>416</c:v>
                </c:pt>
                <c:pt idx="1">
                  <c:v>395</c:v>
                </c:pt>
                <c:pt idx="2">
                  <c:v>361</c:v>
                </c:pt>
                <c:pt idx="3">
                  <c:v>386</c:v>
                </c:pt>
                <c:pt idx="5">
                  <c:v>326</c:v>
                </c:pt>
                <c:pt idx="6">
                  <c:v>392</c:v>
                </c:pt>
                <c:pt idx="7">
                  <c:v>382</c:v>
                </c:pt>
                <c:pt idx="8">
                  <c:v>340</c:v>
                </c:pt>
                <c:pt idx="10">
                  <c:v>238</c:v>
                </c:pt>
                <c:pt idx="11">
                  <c:v>254</c:v>
                </c:pt>
                <c:pt idx="12">
                  <c:v>222</c:v>
                </c:pt>
                <c:pt idx="13">
                  <c:v>160</c:v>
                </c:pt>
              </c:numCache>
            </c:numRef>
          </c:val>
          <c:extLst>
            <c:ext xmlns:c16="http://schemas.microsoft.com/office/drawing/2014/chart" uri="{C3380CC4-5D6E-409C-BE32-E72D297353CC}">
              <c16:uniqueId val="{00000002-A809-844F-8A87-85D23180947F}"/>
            </c:ext>
          </c:extLst>
        </c:ser>
        <c:ser>
          <c:idx val="3"/>
          <c:order val="3"/>
          <c:tx>
            <c:strRef>
              <c:f>'4_2.5 Viz'!$F$1</c:f>
              <c:strCache>
                <c:ptCount val="1"/>
                <c:pt idx="0">
                  <c:v>Cases Secondary Dx Drug Poisoning with Dx Code Before Mechanism / Manner Code (Prin Dx,
Secondary Dx, External Cause)</c:v>
                </c:pt>
              </c:strCache>
            </c:strRef>
          </c:tx>
          <c:invertIfNegative val="0"/>
          <c:cat>
            <c:multiLvlStrRef>
              <c:f>'4_2.5 Viz'!$A$2:$B$15</c:f>
              <c:multiLvlStrCache>
                <c:ptCount val="14"/>
                <c:lvl>
                  <c:pt idx="0">
                    <c:v>2016-1</c:v>
                  </c:pt>
                  <c:pt idx="1">
                    <c:v>2016-2</c:v>
                  </c:pt>
                  <c:pt idx="2">
                    <c:v>2016-3</c:v>
                  </c:pt>
                  <c:pt idx="3">
                    <c:v>2016-4</c:v>
                  </c:pt>
                  <c:pt idx="5">
                    <c:v>2016-1</c:v>
                  </c:pt>
                  <c:pt idx="6">
                    <c:v>2016-2</c:v>
                  </c:pt>
                  <c:pt idx="7">
                    <c:v>2016-3</c:v>
                  </c:pt>
                  <c:pt idx="8">
                    <c:v>2016-4</c:v>
                  </c:pt>
                  <c:pt idx="10">
                    <c:v>2016-1</c:v>
                  </c:pt>
                  <c:pt idx="11">
                    <c:v>2016-2</c:v>
                  </c:pt>
                  <c:pt idx="12">
                    <c:v>2016-3</c:v>
                  </c:pt>
                  <c:pt idx="13">
                    <c:v>2016-4</c:v>
                  </c:pt>
                </c:lvl>
                <c:lvl>
                  <c:pt idx="0">
                    <c:v>Colorado</c:v>
                  </c:pt>
                  <c:pt idx="5">
                    <c:v>Kentucky</c:v>
                  </c:pt>
                  <c:pt idx="10">
                    <c:v>New Mexico</c:v>
                  </c:pt>
                </c:lvl>
              </c:multiLvlStrCache>
            </c:multiLvlStrRef>
          </c:cat>
          <c:val>
            <c:numRef>
              <c:f>'4_2.5 Viz'!$F$2:$F$15</c:f>
              <c:numCache>
                <c:formatCode>###,###,##0</c:formatCode>
                <c:ptCount val="14"/>
                <c:pt idx="0">
                  <c:v>416</c:v>
                </c:pt>
                <c:pt idx="1">
                  <c:v>395</c:v>
                </c:pt>
                <c:pt idx="2">
                  <c:v>361</c:v>
                </c:pt>
                <c:pt idx="3">
                  <c:v>386</c:v>
                </c:pt>
                <c:pt idx="5">
                  <c:v>326</c:v>
                </c:pt>
                <c:pt idx="6">
                  <c:v>392</c:v>
                </c:pt>
                <c:pt idx="7">
                  <c:v>382</c:v>
                </c:pt>
                <c:pt idx="8">
                  <c:v>340</c:v>
                </c:pt>
                <c:pt idx="10">
                  <c:v>238</c:v>
                </c:pt>
                <c:pt idx="11">
                  <c:v>254</c:v>
                </c:pt>
                <c:pt idx="12">
                  <c:v>222</c:v>
                </c:pt>
                <c:pt idx="13">
                  <c:v>160</c:v>
                </c:pt>
              </c:numCache>
            </c:numRef>
          </c:val>
          <c:extLst>
            <c:ext xmlns:c16="http://schemas.microsoft.com/office/drawing/2014/chart" uri="{C3380CC4-5D6E-409C-BE32-E72D297353CC}">
              <c16:uniqueId val="{00000007-0881-4D4C-87CE-E4EC74D7872F}"/>
            </c:ext>
          </c:extLst>
        </c:ser>
        <c:dLbls>
          <c:showLegendKey val="0"/>
          <c:showVal val="0"/>
          <c:showCatName val="0"/>
          <c:showSerName val="0"/>
          <c:showPercent val="0"/>
          <c:showBubbleSize val="0"/>
        </c:dLbls>
        <c:gapWidth val="25"/>
        <c:overlap val="100"/>
        <c:axId val="252956032"/>
        <c:axId val="252957824"/>
      </c:barChart>
      <c:catAx>
        <c:axId val="252956032"/>
        <c:scaling>
          <c:orientation val="minMax"/>
        </c:scaling>
        <c:delete val="0"/>
        <c:axPos val="b"/>
        <c:title>
          <c:tx>
            <c:rich>
              <a:bodyPr/>
              <a:lstStyle/>
              <a:p>
                <a:pPr>
                  <a:defRPr/>
                </a:pPr>
                <a:r>
                  <a:rPr lang="en-US"/>
                  <a:t>State and Quarter</a:t>
                </a:r>
              </a:p>
            </c:rich>
          </c:tx>
          <c:overlay val="0"/>
        </c:title>
        <c:numFmt formatCode="General" sourceLinked="0"/>
        <c:majorTickMark val="out"/>
        <c:minorTickMark val="none"/>
        <c:tickLblPos val="nextTo"/>
        <c:crossAx val="252957824"/>
        <c:crosses val="autoZero"/>
        <c:auto val="1"/>
        <c:lblAlgn val="ctr"/>
        <c:lblOffset val="100"/>
        <c:noMultiLvlLbl val="0"/>
      </c:catAx>
      <c:valAx>
        <c:axId val="252957824"/>
        <c:scaling>
          <c:orientation val="minMax"/>
          <c:max val="1"/>
          <c:min val="0"/>
        </c:scaling>
        <c:delete val="0"/>
        <c:axPos val="l"/>
        <c:majorGridlines/>
        <c:numFmt formatCode="0%" sourceLinked="1"/>
        <c:majorTickMark val="out"/>
        <c:minorTickMark val="none"/>
        <c:tickLblPos val="nextTo"/>
        <c:crossAx val="2529560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US"/>
              <a:t>4_3.1 - Number of Selected Drug Classes </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'4_3.1 '!$A$25</c:f>
              <c:strCache>
                <c:ptCount val="1"/>
                <c:pt idx="0">
                  <c:v>Colorado</c:v>
                </c:pt>
              </c:strCache>
            </c:strRef>
          </c:tx>
          <c:spPr>
            <a:solidFill>
              <a:schemeClr val="accent1"/>
            </a:solidFill>
            <a:ln>
              <a:noFill/>
            </a:ln>
            <a:effectLst/>
          </c:spPr>
          <c:invertIfNegative val="0"/>
          <c:cat>
            <c:strRef>
              <c:f>'4_3.1 '!$B$24:$G$24</c:f>
              <c:strCache>
                <c:ptCount val="6"/>
                <c:pt idx="0">
                  <c:v>1 Class</c:v>
                </c:pt>
                <c:pt idx="1">
                  <c:v>2 Classes</c:v>
                </c:pt>
                <c:pt idx="2">
                  <c:v>3 Classes</c:v>
                </c:pt>
                <c:pt idx="3">
                  <c:v>4 Classes</c:v>
                </c:pt>
                <c:pt idx="4">
                  <c:v>5 Classes</c:v>
                </c:pt>
                <c:pt idx="5">
                  <c:v>6 Classes</c:v>
                </c:pt>
              </c:strCache>
            </c:strRef>
          </c:cat>
          <c:val>
            <c:numRef>
              <c:f>'4_3.1 '!$B$25:$G$25</c:f>
              <c:numCache>
                <c:formatCode>0.0%</c:formatCode>
                <c:ptCount val="6"/>
                <c:pt idx="0">
                  <c:v>0.92148997134670485</c:v>
                </c:pt>
                <c:pt idx="1">
                  <c:v>6.6475644699140399E-2</c:v>
                </c:pt>
                <c:pt idx="2">
                  <c:v>9.4555873925501431E-3</c:v>
                </c:pt>
                <c:pt idx="3">
                  <c:v>2.0057306590257878E-3</c:v>
                </c:pt>
                <c:pt idx="4">
                  <c:v>5.7306590257879652E-4</c:v>
                </c:pt>
                <c:pt idx="5">
                  <c:v>0</c:v>
                </c:pt>
              </c:numCache>
            </c:numRef>
          </c:val>
          <c:extLst>
            <c:ext xmlns:c16="http://schemas.microsoft.com/office/drawing/2014/chart" uri="{C3380CC4-5D6E-409C-BE32-E72D297353CC}">
              <c16:uniqueId val="{00000000-5E75-425D-9895-0092D2610F68}"/>
            </c:ext>
          </c:extLst>
        </c:ser>
        <c:ser>
          <c:idx val="1"/>
          <c:order val="1"/>
          <c:tx>
            <c:strRef>
              <c:f>'4_3.1 '!$A$26</c:f>
              <c:strCache>
                <c:ptCount val="1"/>
                <c:pt idx="0">
                  <c:v>Kentucky</c:v>
                </c:pt>
              </c:strCache>
            </c:strRef>
          </c:tx>
          <c:spPr>
            <a:solidFill>
              <a:schemeClr val="accent2"/>
            </a:solidFill>
            <a:ln>
              <a:noFill/>
            </a:ln>
            <a:effectLst/>
          </c:spPr>
          <c:invertIfNegative val="0"/>
          <c:cat>
            <c:strRef>
              <c:f>'4_3.1 '!$B$24:$G$24</c:f>
              <c:strCache>
                <c:ptCount val="6"/>
                <c:pt idx="0">
                  <c:v>1 Class</c:v>
                </c:pt>
                <c:pt idx="1">
                  <c:v>2 Classes</c:v>
                </c:pt>
                <c:pt idx="2">
                  <c:v>3 Classes</c:v>
                </c:pt>
                <c:pt idx="3">
                  <c:v>4 Classes</c:v>
                </c:pt>
                <c:pt idx="4">
                  <c:v>5 Classes</c:v>
                </c:pt>
                <c:pt idx="5">
                  <c:v>6 Classes</c:v>
                </c:pt>
              </c:strCache>
            </c:strRef>
          </c:cat>
          <c:val>
            <c:numRef>
              <c:f>'4_3.1 '!$B$26:$G$26</c:f>
              <c:numCache>
                <c:formatCode>0.0%</c:formatCode>
                <c:ptCount val="6"/>
                <c:pt idx="0">
                  <c:v>0.93666340189356845</c:v>
                </c:pt>
                <c:pt idx="1">
                  <c:v>5.2516207266452127E-2</c:v>
                </c:pt>
                <c:pt idx="2">
                  <c:v>8.5816892868802765E-3</c:v>
                </c:pt>
                <c:pt idx="3">
                  <c:v>1.9122242432722354E-3</c:v>
                </c:pt>
                <c:pt idx="4">
                  <c:v>3.2647730982696702E-4</c:v>
                </c:pt>
                <c:pt idx="5">
                  <c:v>0</c:v>
                </c:pt>
              </c:numCache>
            </c:numRef>
          </c:val>
          <c:extLst>
            <c:ext xmlns:c16="http://schemas.microsoft.com/office/drawing/2014/chart" uri="{C3380CC4-5D6E-409C-BE32-E72D297353CC}">
              <c16:uniqueId val="{00000001-5E75-425D-9895-0092D2610F68}"/>
            </c:ext>
          </c:extLst>
        </c:ser>
        <c:ser>
          <c:idx val="2"/>
          <c:order val="2"/>
          <c:tx>
            <c:strRef>
              <c:f>'4_3.1 '!$A$27</c:f>
              <c:strCache>
                <c:ptCount val="1"/>
                <c:pt idx="0">
                  <c:v>Louisiana</c:v>
                </c:pt>
              </c:strCache>
            </c:strRef>
          </c:tx>
          <c:spPr>
            <a:solidFill>
              <a:schemeClr val="accent3"/>
            </a:solidFill>
            <a:ln>
              <a:noFill/>
            </a:ln>
            <a:effectLst/>
          </c:spPr>
          <c:invertIfNegative val="0"/>
          <c:cat>
            <c:strRef>
              <c:f>'4_3.1 '!$B$24:$G$24</c:f>
              <c:strCache>
                <c:ptCount val="6"/>
                <c:pt idx="0">
                  <c:v>1 Class</c:v>
                </c:pt>
                <c:pt idx="1">
                  <c:v>2 Classes</c:v>
                </c:pt>
                <c:pt idx="2">
                  <c:v>3 Classes</c:v>
                </c:pt>
                <c:pt idx="3">
                  <c:v>4 Classes</c:v>
                </c:pt>
                <c:pt idx="4">
                  <c:v>5 Classes</c:v>
                </c:pt>
                <c:pt idx="5">
                  <c:v>6 Classes</c:v>
                </c:pt>
              </c:strCache>
            </c:strRef>
          </c:cat>
          <c:val>
            <c:numRef>
              <c:f>'4_3.1 '!$B$27:$G$27</c:f>
              <c:numCache>
                <c:formatCode>0.0%</c:formatCode>
                <c:ptCount val="6"/>
                <c:pt idx="0">
                  <c:v>0.66637524042664797</c:v>
                </c:pt>
                <c:pt idx="1">
                  <c:v>0.27976919041790521</c:v>
                </c:pt>
                <c:pt idx="2">
                  <c:v>4.1091099842629833E-2</c:v>
                </c:pt>
                <c:pt idx="3">
                  <c:v>9.6170659206154929E-3</c:v>
                </c:pt>
                <c:pt idx="4">
                  <c:v>2.7976919041790521E-3</c:v>
                </c:pt>
                <c:pt idx="5">
                  <c:v>3.4971148802238151E-4</c:v>
                </c:pt>
              </c:numCache>
            </c:numRef>
          </c:val>
          <c:extLst>
            <c:ext xmlns:c16="http://schemas.microsoft.com/office/drawing/2014/chart" uri="{C3380CC4-5D6E-409C-BE32-E72D297353CC}">
              <c16:uniqueId val="{00000002-5E75-425D-9895-0092D2610F68}"/>
            </c:ext>
          </c:extLst>
        </c:ser>
        <c:ser>
          <c:idx val="3"/>
          <c:order val="3"/>
          <c:tx>
            <c:strRef>
              <c:f>'4_3.1 '!$A$28</c:f>
              <c:strCache>
                <c:ptCount val="1"/>
                <c:pt idx="0">
                  <c:v>New Mexico</c:v>
                </c:pt>
              </c:strCache>
            </c:strRef>
          </c:tx>
          <c:spPr>
            <a:solidFill>
              <a:schemeClr val="accent4"/>
            </a:solidFill>
            <a:ln>
              <a:noFill/>
            </a:ln>
            <a:effectLst/>
          </c:spPr>
          <c:invertIfNegative val="0"/>
          <c:cat>
            <c:strRef>
              <c:f>'4_3.1 '!$B$24:$G$24</c:f>
              <c:strCache>
                <c:ptCount val="6"/>
                <c:pt idx="0">
                  <c:v>1 Class</c:v>
                </c:pt>
                <c:pt idx="1">
                  <c:v>2 Classes</c:v>
                </c:pt>
                <c:pt idx="2">
                  <c:v>3 Classes</c:v>
                </c:pt>
                <c:pt idx="3">
                  <c:v>4 Classes</c:v>
                </c:pt>
                <c:pt idx="4">
                  <c:v>5 Classes</c:v>
                </c:pt>
                <c:pt idx="5">
                  <c:v>6 Classes</c:v>
                </c:pt>
              </c:strCache>
            </c:strRef>
          </c:cat>
          <c:val>
            <c:numRef>
              <c:f>'4_3.1 '!$B$28:$G$28</c:f>
              <c:numCache>
                <c:formatCode>0.0%</c:formatCode>
                <c:ptCount val="6"/>
                <c:pt idx="0">
                  <c:v>0.85883849088596864</c:v>
                </c:pt>
                <c:pt idx="1">
                  <c:v>0.12335735481136074</c:v>
                </c:pt>
                <c:pt idx="2">
                  <c:v>1.483679525222552E-2</c:v>
                </c:pt>
                <c:pt idx="3">
                  <c:v>2.5434506146672321E-3</c:v>
                </c:pt>
                <c:pt idx="4">
                  <c:v>4.2390843577787198E-4</c:v>
                </c:pt>
                <c:pt idx="5">
                  <c:v>0</c:v>
                </c:pt>
              </c:numCache>
            </c:numRef>
          </c:val>
          <c:extLst>
            <c:ext xmlns:c16="http://schemas.microsoft.com/office/drawing/2014/chart" uri="{C3380CC4-5D6E-409C-BE32-E72D297353CC}">
              <c16:uniqueId val="{00000003-5E75-425D-9895-0092D2610F68}"/>
            </c:ext>
          </c:extLst>
        </c:ser>
        <c:ser>
          <c:idx val="4"/>
          <c:order val="4"/>
          <c:tx>
            <c:strRef>
              <c:f>'4_3.1 '!$A$29</c:f>
              <c:strCache>
                <c:ptCount val="1"/>
                <c:pt idx="0">
                  <c:v>Tennessee</c:v>
                </c:pt>
              </c:strCache>
            </c:strRef>
          </c:tx>
          <c:spPr>
            <a:solidFill>
              <a:schemeClr val="accent5"/>
            </a:solidFill>
            <a:ln>
              <a:noFill/>
            </a:ln>
            <a:effectLst/>
          </c:spPr>
          <c:invertIfNegative val="0"/>
          <c:cat>
            <c:strRef>
              <c:f>'4_3.1 '!$B$24:$G$24</c:f>
              <c:strCache>
                <c:ptCount val="6"/>
                <c:pt idx="0">
                  <c:v>1 Class</c:v>
                </c:pt>
                <c:pt idx="1">
                  <c:v>2 Classes</c:v>
                </c:pt>
                <c:pt idx="2">
                  <c:v>3 Classes</c:v>
                </c:pt>
                <c:pt idx="3">
                  <c:v>4 Classes</c:v>
                </c:pt>
                <c:pt idx="4">
                  <c:v>5 Classes</c:v>
                </c:pt>
                <c:pt idx="5">
                  <c:v>6 Classes</c:v>
                </c:pt>
              </c:strCache>
            </c:strRef>
          </c:cat>
          <c:val>
            <c:numRef>
              <c:f>'4_3.1 '!$B$29:$G$29</c:f>
              <c:numCache>
                <c:formatCode>0.0%</c:formatCode>
                <c:ptCount val="6"/>
                <c:pt idx="0">
                  <c:v>0.87934478625649226</c:v>
                </c:pt>
                <c:pt idx="1">
                  <c:v>9.9746970302303908E-2</c:v>
                </c:pt>
                <c:pt idx="2">
                  <c:v>1.6380343587694766E-2</c:v>
                </c:pt>
                <c:pt idx="3">
                  <c:v>3.9952057530962841E-3</c:v>
                </c:pt>
                <c:pt idx="4">
                  <c:v>5.3269410041283788E-4</c:v>
                </c:pt>
                <c:pt idx="5">
                  <c:v>0</c:v>
                </c:pt>
              </c:numCache>
            </c:numRef>
          </c:val>
          <c:extLst>
            <c:ext xmlns:c16="http://schemas.microsoft.com/office/drawing/2014/chart" uri="{C3380CC4-5D6E-409C-BE32-E72D297353CC}">
              <c16:uniqueId val="{00000004-5E75-425D-9895-0092D2610F68}"/>
            </c:ext>
          </c:extLst>
        </c:ser>
        <c:dLbls>
          <c:showLegendKey val="0"/>
          <c:showVal val="0"/>
          <c:showCatName val="0"/>
          <c:showSerName val="0"/>
          <c:showPercent val="0"/>
          <c:showBubbleSize val="0"/>
        </c:dLbls>
        <c:gapWidth val="219"/>
        <c:overlap val="-27"/>
        <c:axId val="488833744"/>
        <c:axId val="488825872"/>
      </c:barChart>
      <c:catAx>
        <c:axId val="488833744"/>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8825872"/>
        <c:crosses val="autoZero"/>
        <c:auto val="1"/>
        <c:lblAlgn val="ctr"/>
        <c:lblOffset val="100"/>
        <c:noMultiLvlLbl val="0"/>
      </c:catAx>
      <c:valAx>
        <c:axId val="488825872"/>
        <c:scaling>
          <c:orientation val="minMax"/>
        </c:scaling>
        <c:delete val="0"/>
        <c:axPos val="l"/>
        <c:majorGridlines>
          <c:spPr>
            <a:ln w="9525" cap="flat" cmpd="sng" algn="ctr">
              <a:solidFill>
                <a:schemeClr val="bg1">
                  <a:lumMod val="75000"/>
                </a:schemeClr>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8833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b="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0"/>
              <a:t>4_3.4a Percent of </a:t>
            </a:r>
            <a:r>
              <a:rPr lang="en-US" sz="1400" b="0" i="0" u="none" strike="noStrike" baseline="0">
                <a:effectLst/>
              </a:rPr>
              <a:t>heroin and NH opioid </a:t>
            </a:r>
            <a:r>
              <a:rPr lang="en-US" b="0"/>
              <a:t>overdose cases that also involve amphetamines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ideas'!$B$19</c:f>
              <c:strCache>
                <c:ptCount val="1"/>
                <c:pt idx="0">
                  <c:v>out of all heroin overdoses</c:v>
                </c:pt>
              </c:strCache>
            </c:strRef>
          </c:tx>
          <c:spPr>
            <a:solidFill>
              <a:schemeClr val="accent1"/>
            </a:solidFill>
            <a:ln>
              <a:noFill/>
            </a:ln>
            <a:effectLst/>
          </c:spPr>
          <c:invertIfNegative val="0"/>
          <c:cat>
            <c:strRef>
              <c:f>'Emilia''s graphics ideas'!$A$20:$A$24</c:f>
              <c:strCache>
                <c:ptCount val="5"/>
                <c:pt idx="0">
                  <c:v>CO</c:v>
                </c:pt>
                <c:pt idx="1">
                  <c:v>KY</c:v>
                </c:pt>
                <c:pt idx="2">
                  <c:v>LA</c:v>
                </c:pt>
                <c:pt idx="3">
                  <c:v>NM</c:v>
                </c:pt>
                <c:pt idx="4">
                  <c:v>TN</c:v>
                </c:pt>
              </c:strCache>
            </c:strRef>
          </c:cat>
          <c:val>
            <c:numRef>
              <c:f>'Emilia''s graphics ideas'!$B$20:$B$24</c:f>
              <c:numCache>
                <c:formatCode>0.0%</c:formatCode>
                <c:ptCount val="5"/>
                <c:pt idx="0">
                  <c:v>2.1164021164021163E-2</c:v>
                </c:pt>
                <c:pt idx="1">
                  <c:v>1.3003589948145194E-2</c:v>
                </c:pt>
                <c:pt idx="2">
                  <c:v>7.3952341824157766E-3</c:v>
                </c:pt>
                <c:pt idx="3">
                  <c:v>2.5875190258751901E-2</c:v>
                </c:pt>
                <c:pt idx="4">
                  <c:v>1.1202830188679245E-2</c:v>
                </c:pt>
              </c:numCache>
            </c:numRef>
          </c:val>
          <c:extLst>
            <c:ext xmlns:c16="http://schemas.microsoft.com/office/drawing/2014/chart" uri="{C3380CC4-5D6E-409C-BE32-E72D297353CC}">
              <c16:uniqueId val="{00000000-05CB-413E-AF79-E5DA1BD997FD}"/>
            </c:ext>
          </c:extLst>
        </c:ser>
        <c:ser>
          <c:idx val="1"/>
          <c:order val="1"/>
          <c:tx>
            <c:strRef>
              <c:f>'Emilia''s graphics ideas'!$C$19</c:f>
              <c:strCache>
                <c:ptCount val="1"/>
                <c:pt idx="0">
                  <c:v>out of all NH opioid overdoses</c:v>
                </c:pt>
              </c:strCache>
            </c:strRef>
          </c:tx>
          <c:spPr>
            <a:solidFill>
              <a:schemeClr val="accent2"/>
            </a:solidFill>
            <a:ln>
              <a:noFill/>
            </a:ln>
            <a:effectLst/>
          </c:spPr>
          <c:invertIfNegative val="0"/>
          <c:cat>
            <c:strRef>
              <c:f>'Emilia''s graphics ideas'!$A$20:$A$24</c:f>
              <c:strCache>
                <c:ptCount val="5"/>
                <c:pt idx="0">
                  <c:v>CO</c:v>
                </c:pt>
                <c:pt idx="1">
                  <c:v>KY</c:v>
                </c:pt>
                <c:pt idx="2">
                  <c:v>LA</c:v>
                </c:pt>
                <c:pt idx="3">
                  <c:v>NM</c:v>
                </c:pt>
                <c:pt idx="4">
                  <c:v>TN</c:v>
                </c:pt>
              </c:strCache>
            </c:strRef>
          </c:cat>
          <c:val>
            <c:numRef>
              <c:f>'Emilia''s graphics ideas'!$C$20:$C$24</c:f>
              <c:numCache>
                <c:formatCode>0.0%</c:formatCode>
                <c:ptCount val="5"/>
                <c:pt idx="0">
                  <c:v>7.874015748031496E-3</c:v>
                </c:pt>
                <c:pt idx="1">
                  <c:v>1.9350380096751902E-2</c:v>
                </c:pt>
                <c:pt idx="2">
                  <c:v>1.2790697674418604E-2</c:v>
                </c:pt>
                <c:pt idx="3">
                  <c:v>1.2870012870012869E-2</c:v>
                </c:pt>
                <c:pt idx="4">
                  <c:v>1.5973254086181277E-2</c:v>
                </c:pt>
              </c:numCache>
            </c:numRef>
          </c:val>
          <c:extLst>
            <c:ext xmlns:c16="http://schemas.microsoft.com/office/drawing/2014/chart" uri="{C3380CC4-5D6E-409C-BE32-E72D297353CC}">
              <c16:uniqueId val="{00000001-05CB-413E-AF79-E5DA1BD997FD}"/>
            </c:ext>
          </c:extLst>
        </c:ser>
        <c:dLbls>
          <c:showLegendKey val="0"/>
          <c:showVal val="0"/>
          <c:showCatName val="0"/>
          <c:showSerName val="0"/>
          <c:showPercent val="0"/>
          <c:showBubbleSize val="0"/>
        </c:dLbls>
        <c:gapWidth val="219"/>
        <c:overlap val="-27"/>
        <c:axId val="495615728"/>
        <c:axId val="497330128"/>
      </c:barChart>
      <c:catAx>
        <c:axId val="49561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7330128"/>
        <c:crosses val="autoZero"/>
        <c:auto val="1"/>
        <c:lblAlgn val="ctr"/>
        <c:lblOffset val="100"/>
        <c:noMultiLvlLbl val="0"/>
      </c:catAx>
      <c:valAx>
        <c:axId val="4973301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5615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0"/>
              <a:t>4_3.4b Percent of </a:t>
            </a:r>
            <a:r>
              <a:rPr lang="en-US" sz="1400" b="0" i="0" u="none" strike="noStrike" baseline="0">
                <a:effectLst/>
              </a:rPr>
              <a:t>heroin and NH opioid </a:t>
            </a:r>
            <a:r>
              <a:rPr lang="en-US" b="0"/>
              <a:t>overdose cases that also involve cocaine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ideas'!$B$31</c:f>
              <c:strCache>
                <c:ptCount val="1"/>
                <c:pt idx="0">
                  <c:v>out of all heroin overdoses</c:v>
                </c:pt>
              </c:strCache>
            </c:strRef>
          </c:tx>
          <c:spPr>
            <a:solidFill>
              <a:schemeClr val="accent1"/>
            </a:solidFill>
            <a:ln>
              <a:noFill/>
            </a:ln>
            <a:effectLst/>
          </c:spPr>
          <c:invertIfNegative val="0"/>
          <c:cat>
            <c:strRef>
              <c:f>'Emilia''s graphics ideas'!$A$32:$A$36</c:f>
              <c:strCache>
                <c:ptCount val="5"/>
                <c:pt idx="0">
                  <c:v>CO</c:v>
                </c:pt>
                <c:pt idx="1">
                  <c:v>KY</c:v>
                </c:pt>
                <c:pt idx="2">
                  <c:v>LA</c:v>
                </c:pt>
                <c:pt idx="3">
                  <c:v>NM</c:v>
                </c:pt>
                <c:pt idx="4">
                  <c:v>TN</c:v>
                </c:pt>
              </c:strCache>
            </c:strRef>
          </c:cat>
          <c:val>
            <c:numRef>
              <c:f>'Emilia''s graphics ideas'!$B$32:$B$36</c:f>
              <c:numCache>
                <c:formatCode>0.0%</c:formatCode>
                <c:ptCount val="5"/>
                <c:pt idx="0">
                  <c:v>5.2910052910052907E-3</c:v>
                </c:pt>
                <c:pt idx="1">
                  <c:v>3.3506182688472276E-3</c:v>
                </c:pt>
                <c:pt idx="2">
                  <c:v>2.2185702547247329E-2</c:v>
                </c:pt>
                <c:pt idx="3">
                  <c:v>1.06544901065449E-2</c:v>
                </c:pt>
                <c:pt idx="4">
                  <c:v>1.5330188679245283E-2</c:v>
                </c:pt>
              </c:numCache>
            </c:numRef>
          </c:val>
          <c:extLst>
            <c:ext xmlns:c16="http://schemas.microsoft.com/office/drawing/2014/chart" uri="{C3380CC4-5D6E-409C-BE32-E72D297353CC}">
              <c16:uniqueId val="{00000000-9727-4AD3-9E31-3601F71A0A71}"/>
            </c:ext>
          </c:extLst>
        </c:ser>
        <c:ser>
          <c:idx val="1"/>
          <c:order val="1"/>
          <c:tx>
            <c:strRef>
              <c:f>'Emilia''s graphics ideas'!$C$31</c:f>
              <c:strCache>
                <c:ptCount val="1"/>
                <c:pt idx="0">
                  <c:v>out of all NH opioid overdoses</c:v>
                </c:pt>
              </c:strCache>
            </c:strRef>
          </c:tx>
          <c:spPr>
            <a:solidFill>
              <a:schemeClr val="accent2"/>
            </a:solidFill>
            <a:ln>
              <a:noFill/>
            </a:ln>
            <a:effectLst/>
          </c:spPr>
          <c:invertIfNegative val="0"/>
          <c:cat>
            <c:strRef>
              <c:f>'Emilia''s graphics ideas'!$A$32:$A$36</c:f>
              <c:strCache>
                <c:ptCount val="5"/>
                <c:pt idx="0">
                  <c:v>CO</c:v>
                </c:pt>
                <c:pt idx="1">
                  <c:v>KY</c:v>
                </c:pt>
                <c:pt idx="2">
                  <c:v>LA</c:v>
                </c:pt>
                <c:pt idx="3">
                  <c:v>NM</c:v>
                </c:pt>
                <c:pt idx="4">
                  <c:v>TN</c:v>
                </c:pt>
              </c:strCache>
            </c:strRef>
          </c:cat>
          <c:val>
            <c:numRef>
              <c:f>'Emilia''s graphics ideas'!$C$32:$C$36</c:f>
              <c:numCache>
                <c:formatCode>0.0%</c:formatCode>
                <c:ptCount val="5"/>
                <c:pt idx="0">
                  <c:v>1.968503937007874E-3</c:v>
                </c:pt>
                <c:pt idx="1">
                  <c:v>3.6857866850956E-3</c:v>
                </c:pt>
                <c:pt idx="2">
                  <c:v>6.9767441860465115E-3</c:v>
                </c:pt>
                <c:pt idx="3">
                  <c:v>3.8610038610038611E-3</c:v>
                </c:pt>
                <c:pt idx="4">
                  <c:v>5.9435364041604752E-3</c:v>
                </c:pt>
              </c:numCache>
            </c:numRef>
          </c:val>
          <c:extLst>
            <c:ext xmlns:c16="http://schemas.microsoft.com/office/drawing/2014/chart" uri="{C3380CC4-5D6E-409C-BE32-E72D297353CC}">
              <c16:uniqueId val="{00000001-9727-4AD3-9E31-3601F71A0A71}"/>
            </c:ext>
          </c:extLst>
        </c:ser>
        <c:dLbls>
          <c:showLegendKey val="0"/>
          <c:showVal val="0"/>
          <c:showCatName val="0"/>
          <c:showSerName val="0"/>
          <c:showPercent val="0"/>
          <c:showBubbleSize val="0"/>
        </c:dLbls>
        <c:gapWidth val="219"/>
        <c:overlap val="-27"/>
        <c:axId val="495325784"/>
        <c:axId val="495326440"/>
      </c:barChart>
      <c:catAx>
        <c:axId val="495325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5326440"/>
        <c:crosses val="autoZero"/>
        <c:auto val="1"/>
        <c:lblAlgn val="ctr"/>
        <c:lblOffset val="100"/>
        <c:noMultiLvlLbl val="0"/>
      </c:catAx>
      <c:valAx>
        <c:axId val="4953264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5325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0"/>
              <a:t>4_3.4c Percent of heroin</a:t>
            </a:r>
            <a:r>
              <a:rPr lang="en-US" b="0" baseline="0"/>
              <a:t> and NH opioid </a:t>
            </a:r>
            <a:r>
              <a:rPr lang="en-US" b="0"/>
              <a:t>overdose cases that also involve benzodiazepines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ideas'!$B$43</c:f>
              <c:strCache>
                <c:ptCount val="1"/>
                <c:pt idx="0">
                  <c:v>out of all heroin overdoses</c:v>
                </c:pt>
              </c:strCache>
            </c:strRef>
          </c:tx>
          <c:spPr>
            <a:solidFill>
              <a:schemeClr val="accent1"/>
            </a:solidFill>
            <a:ln>
              <a:noFill/>
            </a:ln>
            <a:effectLst/>
          </c:spPr>
          <c:invertIfNegative val="0"/>
          <c:cat>
            <c:strRef>
              <c:f>'Emilia''s graphics ideas'!$A$44:$A$48</c:f>
              <c:strCache>
                <c:ptCount val="5"/>
                <c:pt idx="0">
                  <c:v>CO</c:v>
                </c:pt>
                <c:pt idx="1">
                  <c:v>KY</c:v>
                </c:pt>
                <c:pt idx="2">
                  <c:v>LA</c:v>
                </c:pt>
                <c:pt idx="3">
                  <c:v>NM</c:v>
                </c:pt>
                <c:pt idx="4">
                  <c:v>TN</c:v>
                </c:pt>
              </c:strCache>
            </c:strRef>
          </c:cat>
          <c:val>
            <c:numRef>
              <c:f>'Emilia''s graphics ideas'!$B$44:$B$48</c:f>
              <c:numCache>
                <c:formatCode>0.0%</c:formatCode>
                <c:ptCount val="5"/>
                <c:pt idx="0">
                  <c:v>6.6137566137566134E-3</c:v>
                </c:pt>
                <c:pt idx="1">
                  <c:v>8.0574391703230955E-3</c:v>
                </c:pt>
                <c:pt idx="2">
                  <c:v>1.7255546425636811E-2</c:v>
                </c:pt>
                <c:pt idx="3">
                  <c:v>9.1324200913242004E-3</c:v>
                </c:pt>
                <c:pt idx="4">
                  <c:v>1.945754716981132E-2</c:v>
                </c:pt>
              </c:numCache>
            </c:numRef>
          </c:val>
          <c:extLst>
            <c:ext xmlns:c16="http://schemas.microsoft.com/office/drawing/2014/chart" uri="{C3380CC4-5D6E-409C-BE32-E72D297353CC}">
              <c16:uniqueId val="{00000000-BA3D-408F-8517-6010D1D032C7}"/>
            </c:ext>
          </c:extLst>
        </c:ser>
        <c:ser>
          <c:idx val="1"/>
          <c:order val="1"/>
          <c:tx>
            <c:strRef>
              <c:f>'Emilia''s graphics ideas'!$C$43</c:f>
              <c:strCache>
                <c:ptCount val="1"/>
                <c:pt idx="0">
                  <c:v>out of all NH opioid overdoses</c:v>
                </c:pt>
              </c:strCache>
            </c:strRef>
          </c:tx>
          <c:spPr>
            <a:solidFill>
              <a:schemeClr val="accent2"/>
            </a:solidFill>
            <a:ln>
              <a:noFill/>
            </a:ln>
            <a:effectLst/>
          </c:spPr>
          <c:invertIfNegative val="0"/>
          <c:cat>
            <c:strRef>
              <c:f>'Emilia''s graphics ideas'!$A$44:$A$48</c:f>
              <c:strCache>
                <c:ptCount val="5"/>
                <c:pt idx="0">
                  <c:v>CO</c:v>
                </c:pt>
                <c:pt idx="1">
                  <c:v>KY</c:v>
                </c:pt>
                <c:pt idx="2">
                  <c:v>LA</c:v>
                </c:pt>
                <c:pt idx="3">
                  <c:v>NM</c:v>
                </c:pt>
                <c:pt idx="4">
                  <c:v>TN</c:v>
                </c:pt>
              </c:strCache>
            </c:strRef>
          </c:cat>
          <c:val>
            <c:numRef>
              <c:f>'Emilia''s graphics ideas'!$C$44:$C$48</c:f>
              <c:numCache>
                <c:formatCode>0.0%</c:formatCode>
                <c:ptCount val="5"/>
                <c:pt idx="0">
                  <c:v>9.8425196850393706E-2</c:v>
                </c:pt>
                <c:pt idx="1">
                  <c:v>7.8322967058281498E-2</c:v>
                </c:pt>
                <c:pt idx="2">
                  <c:v>0.10116279069767442</c:v>
                </c:pt>
                <c:pt idx="3">
                  <c:v>9.5238095238095233E-2</c:v>
                </c:pt>
                <c:pt idx="4">
                  <c:v>0.1337295690936107</c:v>
                </c:pt>
              </c:numCache>
            </c:numRef>
          </c:val>
          <c:extLst>
            <c:ext xmlns:c16="http://schemas.microsoft.com/office/drawing/2014/chart" uri="{C3380CC4-5D6E-409C-BE32-E72D297353CC}">
              <c16:uniqueId val="{00000001-BA3D-408F-8517-6010D1D032C7}"/>
            </c:ext>
          </c:extLst>
        </c:ser>
        <c:dLbls>
          <c:showLegendKey val="0"/>
          <c:showVal val="0"/>
          <c:showCatName val="0"/>
          <c:showSerName val="0"/>
          <c:showPercent val="0"/>
          <c:showBubbleSize val="0"/>
        </c:dLbls>
        <c:gapWidth val="219"/>
        <c:overlap val="-27"/>
        <c:axId val="487871576"/>
        <c:axId val="487871904"/>
      </c:barChart>
      <c:catAx>
        <c:axId val="487871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7871904"/>
        <c:crosses val="autoZero"/>
        <c:auto val="1"/>
        <c:lblAlgn val="ctr"/>
        <c:lblOffset val="100"/>
        <c:noMultiLvlLbl val="0"/>
      </c:catAx>
      <c:valAx>
        <c:axId val="4878719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7871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4_3.5 Cocaine  involvement in opioid poisoning VS. opioid involvement in cocaine poisoning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ideas'!$B$55</c:f>
              <c:strCache>
                <c:ptCount val="1"/>
                <c:pt idx="0">
                  <c:v>Percent cocaine involvement out of all opioid overdose </c:v>
                </c:pt>
              </c:strCache>
            </c:strRef>
          </c:tx>
          <c:spPr>
            <a:solidFill>
              <a:schemeClr val="accent1"/>
            </a:solidFill>
            <a:ln>
              <a:noFill/>
            </a:ln>
            <a:effectLst/>
          </c:spPr>
          <c:invertIfNegative val="0"/>
          <c:cat>
            <c:strRef>
              <c:f>'Emilia''s graphics ideas'!$A$56:$A$60</c:f>
              <c:strCache>
                <c:ptCount val="5"/>
                <c:pt idx="0">
                  <c:v>CO</c:v>
                </c:pt>
                <c:pt idx="1">
                  <c:v>KY</c:v>
                </c:pt>
                <c:pt idx="2">
                  <c:v>LA</c:v>
                </c:pt>
                <c:pt idx="3">
                  <c:v>NM</c:v>
                </c:pt>
                <c:pt idx="4">
                  <c:v>TN</c:v>
                </c:pt>
              </c:strCache>
            </c:strRef>
          </c:cat>
          <c:val>
            <c:numRef>
              <c:f>'Emilia''s graphics ideas'!$B$56:$B$60</c:f>
              <c:numCache>
                <c:formatCode>0.0%</c:formatCode>
                <c:ptCount val="5"/>
                <c:pt idx="0">
                  <c:v>3.3936651583710408E-3</c:v>
                </c:pt>
                <c:pt idx="1">
                  <c:v>3.4515591525827185E-3</c:v>
                </c:pt>
                <c:pt idx="2">
                  <c:v>1.3411279229711142E-2</c:v>
                </c:pt>
                <c:pt idx="3">
                  <c:v>7.0274068868587487E-3</c:v>
                </c:pt>
                <c:pt idx="4">
                  <c:v>9.62640385056154E-3</c:v>
                </c:pt>
              </c:numCache>
            </c:numRef>
          </c:val>
          <c:extLst>
            <c:ext xmlns:c16="http://schemas.microsoft.com/office/drawing/2014/chart" uri="{C3380CC4-5D6E-409C-BE32-E72D297353CC}">
              <c16:uniqueId val="{00000000-0936-4511-AB58-30E0C35C6F34}"/>
            </c:ext>
          </c:extLst>
        </c:ser>
        <c:ser>
          <c:idx val="1"/>
          <c:order val="1"/>
          <c:tx>
            <c:strRef>
              <c:f>'Emilia''s graphics ideas'!$C$55</c:f>
              <c:strCache>
                <c:ptCount val="1"/>
                <c:pt idx="0">
                  <c:v>Percent opioid involvement out of all cocaine overdose </c:v>
                </c:pt>
              </c:strCache>
            </c:strRef>
          </c:tx>
          <c:spPr>
            <a:solidFill>
              <a:schemeClr val="accent2"/>
            </a:solidFill>
            <a:ln>
              <a:noFill/>
            </a:ln>
            <a:effectLst/>
          </c:spPr>
          <c:invertIfNegative val="0"/>
          <c:cat>
            <c:strRef>
              <c:f>'Emilia''s graphics ideas'!$A$56:$A$60</c:f>
              <c:strCache>
                <c:ptCount val="5"/>
                <c:pt idx="0">
                  <c:v>CO</c:v>
                </c:pt>
                <c:pt idx="1">
                  <c:v>KY</c:v>
                </c:pt>
                <c:pt idx="2">
                  <c:v>LA</c:v>
                </c:pt>
                <c:pt idx="3">
                  <c:v>NM</c:v>
                </c:pt>
                <c:pt idx="4">
                  <c:v>TN</c:v>
                </c:pt>
              </c:strCache>
            </c:strRef>
          </c:cat>
          <c:val>
            <c:numRef>
              <c:f>'Emilia''s graphics ideas'!$C$56:$C$60</c:f>
              <c:numCache>
                <c:formatCode>0.0%</c:formatCode>
                <c:ptCount val="5"/>
                <c:pt idx="0">
                  <c:v>0.08</c:v>
                </c:pt>
                <c:pt idx="1">
                  <c:v>0.13615023474178403</c:v>
                </c:pt>
                <c:pt idx="2">
                  <c:v>0.13356164383561644</c:v>
                </c:pt>
                <c:pt idx="3">
                  <c:v>0.20833333333333334</c:v>
                </c:pt>
                <c:pt idx="4">
                  <c:v>0.23333333333333334</c:v>
                </c:pt>
              </c:numCache>
            </c:numRef>
          </c:val>
          <c:extLst>
            <c:ext xmlns:c16="http://schemas.microsoft.com/office/drawing/2014/chart" uri="{C3380CC4-5D6E-409C-BE32-E72D297353CC}">
              <c16:uniqueId val="{00000001-0936-4511-AB58-30E0C35C6F34}"/>
            </c:ext>
          </c:extLst>
        </c:ser>
        <c:dLbls>
          <c:showLegendKey val="0"/>
          <c:showVal val="0"/>
          <c:showCatName val="0"/>
          <c:showSerName val="0"/>
          <c:showPercent val="0"/>
          <c:showBubbleSize val="0"/>
        </c:dLbls>
        <c:gapWidth val="219"/>
        <c:overlap val="-27"/>
        <c:axId val="484637312"/>
        <c:axId val="484637640"/>
      </c:barChart>
      <c:catAx>
        <c:axId val="484637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637640"/>
        <c:crosses val="autoZero"/>
        <c:auto val="1"/>
        <c:lblAlgn val="ctr"/>
        <c:lblOffset val="100"/>
        <c:noMultiLvlLbl val="0"/>
      </c:catAx>
      <c:valAx>
        <c:axId val="4846376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637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4_3.3 Cannabis involvement in opioid poisoning VS. opioid involvement in cannabis poisoning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ideas'!$B$2</c:f>
              <c:strCache>
                <c:ptCount val="1"/>
                <c:pt idx="0">
                  <c:v>Percent marijuana involvement out of all opioid overdose </c:v>
                </c:pt>
              </c:strCache>
            </c:strRef>
          </c:tx>
          <c:spPr>
            <a:solidFill>
              <a:schemeClr val="accent1"/>
            </a:solidFill>
            <a:ln>
              <a:noFill/>
            </a:ln>
            <a:effectLst/>
          </c:spPr>
          <c:invertIfNegative val="0"/>
          <c:cat>
            <c:strRef>
              <c:f>'Emilia''s graphics ideas'!$A$3:$A$7</c:f>
              <c:strCache>
                <c:ptCount val="5"/>
                <c:pt idx="0">
                  <c:v>CO</c:v>
                </c:pt>
                <c:pt idx="1">
                  <c:v>KY</c:v>
                </c:pt>
                <c:pt idx="2">
                  <c:v>LA</c:v>
                </c:pt>
                <c:pt idx="3">
                  <c:v>NM</c:v>
                </c:pt>
                <c:pt idx="4">
                  <c:v>TN</c:v>
                </c:pt>
              </c:strCache>
            </c:strRef>
          </c:cat>
          <c:val>
            <c:numRef>
              <c:f>'Emilia''s graphics ideas'!$B$3:$B$7</c:f>
              <c:numCache>
                <c:formatCode>0.0%</c:formatCode>
                <c:ptCount val="5"/>
                <c:pt idx="0">
                  <c:v>3.9592760180995473E-3</c:v>
                </c:pt>
                <c:pt idx="1">
                  <c:v>2.0233277791002141E-3</c:v>
                </c:pt>
                <c:pt idx="2">
                  <c:v>3.7826685006877581E-3</c:v>
                </c:pt>
                <c:pt idx="3">
                  <c:v>5.6219255094869993E-3</c:v>
                </c:pt>
                <c:pt idx="4">
                  <c:v>2.0628008251203302E-3</c:v>
                </c:pt>
              </c:numCache>
            </c:numRef>
          </c:val>
          <c:extLst>
            <c:ext xmlns:c16="http://schemas.microsoft.com/office/drawing/2014/chart" uri="{C3380CC4-5D6E-409C-BE32-E72D297353CC}">
              <c16:uniqueId val="{00000000-E385-4B9F-938B-B072A2FF386F}"/>
            </c:ext>
          </c:extLst>
        </c:ser>
        <c:ser>
          <c:idx val="1"/>
          <c:order val="1"/>
          <c:tx>
            <c:strRef>
              <c:f>'Emilia''s graphics ideas'!$C$2</c:f>
              <c:strCache>
                <c:ptCount val="1"/>
                <c:pt idx="0">
                  <c:v>Percent opioid involvement out of all marijuana overdose </c:v>
                </c:pt>
              </c:strCache>
            </c:strRef>
          </c:tx>
          <c:spPr>
            <a:solidFill>
              <a:schemeClr val="accent2"/>
            </a:solidFill>
            <a:ln>
              <a:noFill/>
            </a:ln>
            <a:effectLst/>
          </c:spPr>
          <c:invertIfNegative val="0"/>
          <c:cat>
            <c:strRef>
              <c:f>'Emilia''s graphics ideas'!$A$3:$A$7</c:f>
              <c:strCache>
                <c:ptCount val="5"/>
                <c:pt idx="0">
                  <c:v>CO</c:v>
                </c:pt>
                <c:pt idx="1">
                  <c:v>KY</c:v>
                </c:pt>
                <c:pt idx="2">
                  <c:v>LA</c:v>
                </c:pt>
                <c:pt idx="3">
                  <c:v>NM</c:v>
                </c:pt>
                <c:pt idx="4">
                  <c:v>TN</c:v>
                </c:pt>
              </c:strCache>
            </c:strRef>
          </c:cat>
          <c:val>
            <c:numRef>
              <c:f>'Emilia''s graphics ideas'!$C$3:$C$7</c:f>
              <c:numCache>
                <c:formatCode>0.0%</c:formatCode>
                <c:ptCount val="5"/>
                <c:pt idx="0">
                  <c:v>2.5454545454545455E-2</c:v>
                </c:pt>
                <c:pt idx="1">
                  <c:v>5.3375196232339092E-2</c:v>
                </c:pt>
                <c:pt idx="2">
                  <c:v>4.5267489711934158E-2</c:v>
                </c:pt>
                <c:pt idx="3">
                  <c:v>0.13559322033898305</c:v>
                </c:pt>
                <c:pt idx="4">
                  <c:v>0.06</c:v>
                </c:pt>
              </c:numCache>
            </c:numRef>
          </c:val>
          <c:extLst>
            <c:ext xmlns:c16="http://schemas.microsoft.com/office/drawing/2014/chart" uri="{C3380CC4-5D6E-409C-BE32-E72D297353CC}">
              <c16:uniqueId val="{00000001-E385-4B9F-938B-B072A2FF386F}"/>
            </c:ext>
          </c:extLst>
        </c:ser>
        <c:dLbls>
          <c:showLegendKey val="0"/>
          <c:showVal val="0"/>
          <c:showCatName val="0"/>
          <c:showSerName val="0"/>
          <c:showPercent val="0"/>
          <c:showBubbleSize val="0"/>
        </c:dLbls>
        <c:gapWidth val="219"/>
        <c:overlap val="-27"/>
        <c:axId val="487872888"/>
        <c:axId val="487875512"/>
      </c:barChart>
      <c:catAx>
        <c:axId val="487872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7875512"/>
        <c:crosses val="autoZero"/>
        <c:auto val="1"/>
        <c:lblAlgn val="ctr"/>
        <c:lblOffset val="100"/>
        <c:noMultiLvlLbl val="0"/>
      </c:catAx>
      <c:valAx>
        <c:axId val="4878755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7872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4_3.6  Benzodiazapine involvement in non-heroin</a:t>
            </a:r>
            <a:r>
              <a:rPr lang="en-US" baseline="0"/>
              <a:t> </a:t>
            </a:r>
            <a:r>
              <a:rPr lang="en-US"/>
              <a:t>opioid poisoning VS. non-heroin</a:t>
            </a:r>
            <a:r>
              <a:rPr lang="en-US" baseline="0"/>
              <a:t> </a:t>
            </a:r>
            <a:r>
              <a:rPr lang="en-US"/>
              <a:t>opioid involvement in benzodiazepine poisoning</a:t>
            </a:r>
          </a:p>
        </c:rich>
      </c:tx>
      <c:layout>
        <c:manualLayout>
          <c:xMode val="edge"/>
          <c:yMode val="edge"/>
          <c:x val="0.13730555555555554"/>
          <c:y val="3.2407407407407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ideas'!$B$67</c:f>
              <c:strCache>
                <c:ptCount val="1"/>
                <c:pt idx="0">
                  <c:v>Percent benzodiazepine involvement out of all non-heroin opioid overdose </c:v>
                </c:pt>
              </c:strCache>
            </c:strRef>
          </c:tx>
          <c:spPr>
            <a:solidFill>
              <a:schemeClr val="accent1"/>
            </a:solidFill>
            <a:ln>
              <a:noFill/>
            </a:ln>
            <a:effectLst/>
          </c:spPr>
          <c:invertIfNegative val="0"/>
          <c:cat>
            <c:strRef>
              <c:f>'Emilia''s graphics ideas'!$A$68:$A$72</c:f>
              <c:strCache>
                <c:ptCount val="5"/>
                <c:pt idx="0">
                  <c:v>CO</c:v>
                </c:pt>
                <c:pt idx="1">
                  <c:v>KY</c:v>
                </c:pt>
                <c:pt idx="2">
                  <c:v>LA</c:v>
                </c:pt>
                <c:pt idx="3">
                  <c:v>NM</c:v>
                </c:pt>
                <c:pt idx="4">
                  <c:v>TN</c:v>
                </c:pt>
              </c:strCache>
            </c:strRef>
          </c:cat>
          <c:val>
            <c:numRef>
              <c:f>'Emilia''s graphics ideas'!$B$68:$B$72</c:f>
              <c:numCache>
                <c:formatCode>0.0%</c:formatCode>
                <c:ptCount val="5"/>
                <c:pt idx="0">
                  <c:v>9.8425196850393706E-2</c:v>
                </c:pt>
                <c:pt idx="1">
                  <c:v>7.8322967058281498E-2</c:v>
                </c:pt>
                <c:pt idx="2">
                  <c:v>0.10116279069767442</c:v>
                </c:pt>
                <c:pt idx="3">
                  <c:v>9.5238095238095233E-2</c:v>
                </c:pt>
                <c:pt idx="4">
                  <c:v>0.1337295690936107</c:v>
                </c:pt>
              </c:numCache>
            </c:numRef>
          </c:val>
          <c:extLst>
            <c:ext xmlns:c16="http://schemas.microsoft.com/office/drawing/2014/chart" uri="{C3380CC4-5D6E-409C-BE32-E72D297353CC}">
              <c16:uniqueId val="{00000000-CDCC-4265-B616-E6A91082BB99}"/>
            </c:ext>
          </c:extLst>
        </c:ser>
        <c:ser>
          <c:idx val="1"/>
          <c:order val="1"/>
          <c:tx>
            <c:strRef>
              <c:f>'Emilia''s graphics ideas'!$C$67</c:f>
              <c:strCache>
                <c:ptCount val="1"/>
                <c:pt idx="0">
                  <c:v>Percent non-heroin opioid involvement out of all benzodiazepine overdose </c:v>
                </c:pt>
              </c:strCache>
            </c:strRef>
          </c:tx>
          <c:spPr>
            <a:solidFill>
              <a:schemeClr val="accent2"/>
            </a:solidFill>
            <a:ln>
              <a:noFill/>
            </a:ln>
            <a:effectLst/>
          </c:spPr>
          <c:invertIfNegative val="0"/>
          <c:cat>
            <c:strRef>
              <c:f>'Emilia''s graphics ideas'!$A$68:$A$72</c:f>
              <c:strCache>
                <c:ptCount val="5"/>
                <c:pt idx="0">
                  <c:v>CO</c:v>
                </c:pt>
                <c:pt idx="1">
                  <c:v>KY</c:v>
                </c:pt>
                <c:pt idx="2">
                  <c:v>LA</c:v>
                </c:pt>
                <c:pt idx="3">
                  <c:v>NM</c:v>
                </c:pt>
                <c:pt idx="4">
                  <c:v>TN</c:v>
                </c:pt>
              </c:strCache>
            </c:strRef>
          </c:cat>
          <c:val>
            <c:numRef>
              <c:f>'Emilia''s graphics ideas'!$C$68:$C$72</c:f>
              <c:numCache>
                <c:formatCode>0.0%</c:formatCode>
                <c:ptCount val="5"/>
                <c:pt idx="0">
                  <c:v>0.1124859392575928</c:v>
                </c:pt>
                <c:pt idx="1">
                  <c:v>0.15050907481186365</c:v>
                </c:pt>
                <c:pt idx="2">
                  <c:v>0.1303370786516854</c:v>
                </c:pt>
                <c:pt idx="3">
                  <c:v>0.14653465346534653</c:v>
                </c:pt>
                <c:pt idx="4">
                  <c:v>0.17102137767220901</c:v>
                </c:pt>
              </c:numCache>
            </c:numRef>
          </c:val>
          <c:extLst>
            <c:ext xmlns:c16="http://schemas.microsoft.com/office/drawing/2014/chart" uri="{C3380CC4-5D6E-409C-BE32-E72D297353CC}">
              <c16:uniqueId val="{00000001-CDCC-4265-B616-E6A91082BB99}"/>
            </c:ext>
          </c:extLst>
        </c:ser>
        <c:dLbls>
          <c:showLegendKey val="0"/>
          <c:showVal val="0"/>
          <c:showCatName val="0"/>
          <c:showSerName val="0"/>
          <c:showPercent val="0"/>
          <c:showBubbleSize val="0"/>
        </c:dLbls>
        <c:gapWidth val="219"/>
        <c:overlap val="-27"/>
        <c:axId val="485365312"/>
        <c:axId val="485363672"/>
      </c:barChart>
      <c:catAx>
        <c:axId val="485365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363672"/>
        <c:crosses val="autoZero"/>
        <c:auto val="1"/>
        <c:lblAlgn val="ctr"/>
        <c:lblOffset val="100"/>
        <c:noMultiLvlLbl val="0"/>
      </c:catAx>
      <c:valAx>
        <c:axId val="4853636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365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4_3.7 Benzodiazapine involvement in amphetamine poisoning VS. amphetamine involvement in benzodiazepine poisoning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ideas'!$B$79</c:f>
              <c:strCache>
                <c:ptCount val="1"/>
                <c:pt idx="0">
                  <c:v>Percent benzodiazepine involvement out of all amphetamine overdose </c:v>
                </c:pt>
              </c:strCache>
            </c:strRef>
          </c:tx>
          <c:spPr>
            <a:solidFill>
              <a:schemeClr val="accent1"/>
            </a:solidFill>
            <a:ln>
              <a:noFill/>
            </a:ln>
            <a:effectLst/>
          </c:spPr>
          <c:invertIfNegative val="0"/>
          <c:cat>
            <c:strRef>
              <c:f>'Emilia''s graphics ideas'!$A$80:$A$84</c:f>
              <c:strCache>
                <c:ptCount val="5"/>
                <c:pt idx="0">
                  <c:v>CO</c:v>
                </c:pt>
                <c:pt idx="1">
                  <c:v>KY</c:v>
                </c:pt>
                <c:pt idx="2">
                  <c:v>LA</c:v>
                </c:pt>
                <c:pt idx="3">
                  <c:v>NM</c:v>
                </c:pt>
                <c:pt idx="4">
                  <c:v>TN</c:v>
                </c:pt>
              </c:strCache>
            </c:strRef>
          </c:cat>
          <c:val>
            <c:numRef>
              <c:f>'Emilia''s graphics ideas'!$B$80:$B$84</c:f>
              <c:numCache>
                <c:formatCode>0.0%</c:formatCode>
                <c:ptCount val="5"/>
                <c:pt idx="0">
                  <c:v>1.834862385321101E-2</c:v>
                </c:pt>
                <c:pt idx="1">
                  <c:v>4.1753653444676408E-2</c:v>
                </c:pt>
                <c:pt idx="2">
                  <c:v>5.2631578947368418E-2</c:v>
                </c:pt>
                <c:pt idx="3">
                  <c:v>2.8846153846153848E-2</c:v>
                </c:pt>
                <c:pt idx="4">
                  <c:v>7.0205479452054798E-2</c:v>
                </c:pt>
              </c:numCache>
            </c:numRef>
          </c:val>
          <c:extLst>
            <c:ext xmlns:c16="http://schemas.microsoft.com/office/drawing/2014/chart" uri="{C3380CC4-5D6E-409C-BE32-E72D297353CC}">
              <c16:uniqueId val="{00000000-01F6-4572-B335-7F45775D0D77}"/>
            </c:ext>
          </c:extLst>
        </c:ser>
        <c:ser>
          <c:idx val="1"/>
          <c:order val="1"/>
          <c:tx>
            <c:strRef>
              <c:f>'Emilia''s graphics ideas'!$C$79</c:f>
              <c:strCache>
                <c:ptCount val="1"/>
                <c:pt idx="0">
                  <c:v>Percent amphetamine involvement out of all benzodiazepine overdose </c:v>
                </c:pt>
              </c:strCache>
            </c:strRef>
          </c:tx>
          <c:spPr>
            <a:solidFill>
              <a:schemeClr val="accent2"/>
            </a:solidFill>
            <a:ln>
              <a:noFill/>
            </a:ln>
            <a:effectLst/>
          </c:spPr>
          <c:invertIfNegative val="0"/>
          <c:cat>
            <c:strRef>
              <c:f>'Emilia''s graphics ideas'!$A$80:$A$84</c:f>
              <c:strCache>
                <c:ptCount val="5"/>
                <c:pt idx="0">
                  <c:v>CO</c:v>
                </c:pt>
                <c:pt idx="1">
                  <c:v>KY</c:v>
                </c:pt>
                <c:pt idx="2">
                  <c:v>LA</c:v>
                </c:pt>
                <c:pt idx="3">
                  <c:v>NM</c:v>
                </c:pt>
                <c:pt idx="4">
                  <c:v>TN</c:v>
                </c:pt>
              </c:strCache>
            </c:strRef>
          </c:cat>
          <c:val>
            <c:numRef>
              <c:f>'Emilia''s graphics ideas'!$C$80:$C$84</c:f>
              <c:numCache>
                <c:formatCode>0.0%</c:formatCode>
                <c:ptCount val="5"/>
                <c:pt idx="0">
                  <c:v>4.4994375703037125E-3</c:v>
                </c:pt>
                <c:pt idx="1">
                  <c:v>2.6560424966799469E-2</c:v>
                </c:pt>
                <c:pt idx="2">
                  <c:v>1.7977528089887642E-2</c:v>
                </c:pt>
                <c:pt idx="3">
                  <c:v>1.1881188118811881E-2</c:v>
                </c:pt>
                <c:pt idx="4">
                  <c:v>1.9477434679334917E-2</c:v>
                </c:pt>
              </c:numCache>
            </c:numRef>
          </c:val>
          <c:extLst>
            <c:ext xmlns:c16="http://schemas.microsoft.com/office/drawing/2014/chart" uri="{C3380CC4-5D6E-409C-BE32-E72D297353CC}">
              <c16:uniqueId val="{00000001-01F6-4572-B335-7F45775D0D77}"/>
            </c:ext>
          </c:extLst>
        </c:ser>
        <c:dLbls>
          <c:showLegendKey val="0"/>
          <c:showVal val="0"/>
          <c:showCatName val="0"/>
          <c:showSerName val="0"/>
          <c:showPercent val="0"/>
          <c:showBubbleSize val="0"/>
        </c:dLbls>
        <c:gapWidth val="219"/>
        <c:overlap val="-27"/>
        <c:axId val="530656688"/>
        <c:axId val="530652096"/>
      </c:barChart>
      <c:catAx>
        <c:axId val="530656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0652096"/>
        <c:crosses val="autoZero"/>
        <c:auto val="1"/>
        <c:lblAlgn val="ctr"/>
        <c:lblOffset val="100"/>
        <c:noMultiLvlLbl val="0"/>
      </c:catAx>
      <c:valAx>
        <c:axId val="5306520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06566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3.8 Benzodiazapine involvement in alcohol poisoning VS. alcohol involvement in benzodiazepine poisoning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'Emilia''s graphics ideas'!$B$91</c:f>
              <c:strCache>
                <c:ptCount val="1"/>
                <c:pt idx="0">
                  <c:v>Percent benzodiazepine involvement out of all alcohol overdose </c:v>
                </c:pt>
              </c:strCache>
            </c:strRef>
          </c:tx>
          <c:spPr>
            <a:solidFill>
              <a:schemeClr val="accent1"/>
            </a:solidFill>
            <a:ln>
              <a:noFill/>
            </a:ln>
            <a:effectLst/>
          </c:spPr>
          <c:invertIfNegative val="0"/>
          <c:cat>
            <c:strRef>
              <c:f>'Emilia''s graphics ideas'!$A$92:$A$96</c:f>
              <c:strCache>
                <c:ptCount val="5"/>
                <c:pt idx="0">
                  <c:v>CO</c:v>
                </c:pt>
                <c:pt idx="1">
                  <c:v>KY</c:v>
                </c:pt>
                <c:pt idx="2">
                  <c:v>LA</c:v>
                </c:pt>
                <c:pt idx="3">
                  <c:v>NM</c:v>
                </c:pt>
                <c:pt idx="4">
                  <c:v>TN</c:v>
                </c:pt>
              </c:strCache>
            </c:strRef>
          </c:cat>
          <c:val>
            <c:numRef>
              <c:f>'Emilia''s graphics ideas'!$B$92:$B$96</c:f>
              <c:numCache>
                <c:formatCode>0.0%</c:formatCode>
                <c:ptCount val="5"/>
                <c:pt idx="0">
                  <c:v>6.2695924764890276E-2</c:v>
                </c:pt>
                <c:pt idx="1">
                  <c:v>5.434782608695652E-2</c:v>
                </c:pt>
                <c:pt idx="2">
                  <c:v>5.0359712230215826E-2</c:v>
                </c:pt>
                <c:pt idx="3">
                  <c:v>5.3921568627450983E-2</c:v>
                </c:pt>
                <c:pt idx="4">
                  <c:v>9.7308488612836433E-2</c:v>
                </c:pt>
              </c:numCache>
            </c:numRef>
          </c:val>
          <c:extLst>
            <c:ext xmlns:c16="http://schemas.microsoft.com/office/drawing/2014/chart" uri="{C3380CC4-5D6E-409C-BE32-E72D297353CC}">
              <c16:uniqueId val="{00000000-A2DD-4BE7-B123-B4DF4446ADDE}"/>
            </c:ext>
          </c:extLst>
        </c:ser>
        <c:ser>
          <c:idx val="1"/>
          <c:order val="1"/>
          <c:tx>
            <c:strRef>
              <c:f>'Emilia''s graphics ideas'!$C$91</c:f>
              <c:strCache>
                <c:ptCount val="1"/>
                <c:pt idx="0">
                  <c:v>Percent alcohol involvement out of all benzodiazepine overdose </c:v>
                </c:pt>
              </c:strCache>
            </c:strRef>
          </c:tx>
          <c:spPr>
            <a:solidFill>
              <a:schemeClr val="accent2"/>
            </a:solidFill>
            <a:ln>
              <a:noFill/>
            </a:ln>
            <a:effectLst/>
          </c:spPr>
          <c:invertIfNegative val="0"/>
          <c:cat>
            <c:strRef>
              <c:f>'Emilia''s graphics ideas'!$A$92:$A$96</c:f>
              <c:strCache>
                <c:ptCount val="5"/>
                <c:pt idx="0">
                  <c:v>CO</c:v>
                </c:pt>
                <c:pt idx="1">
                  <c:v>KY</c:v>
                </c:pt>
                <c:pt idx="2">
                  <c:v>LA</c:v>
                </c:pt>
                <c:pt idx="3">
                  <c:v>NM</c:v>
                </c:pt>
                <c:pt idx="4">
                  <c:v>TN</c:v>
                </c:pt>
              </c:strCache>
            </c:strRef>
          </c:cat>
          <c:val>
            <c:numRef>
              <c:f>'Emilia''s graphics ideas'!$C$92:$C$96</c:f>
              <c:numCache>
                <c:formatCode>0.0%</c:formatCode>
                <c:ptCount val="5"/>
                <c:pt idx="0">
                  <c:v>2.2497187851518559E-2</c:v>
                </c:pt>
                <c:pt idx="1">
                  <c:v>1.3280212483399735E-2</c:v>
                </c:pt>
                <c:pt idx="2">
                  <c:v>1.5730337078651686E-2</c:v>
                </c:pt>
                <c:pt idx="3">
                  <c:v>2.1782178217821781E-2</c:v>
                </c:pt>
                <c:pt idx="4">
                  <c:v>2.2327790973871733E-2</c:v>
                </c:pt>
              </c:numCache>
            </c:numRef>
          </c:val>
          <c:extLst>
            <c:ext xmlns:c16="http://schemas.microsoft.com/office/drawing/2014/chart" uri="{C3380CC4-5D6E-409C-BE32-E72D297353CC}">
              <c16:uniqueId val="{00000001-A2DD-4BE7-B123-B4DF4446ADDE}"/>
            </c:ext>
          </c:extLst>
        </c:ser>
        <c:dLbls>
          <c:showLegendKey val="0"/>
          <c:showVal val="0"/>
          <c:showCatName val="0"/>
          <c:showSerName val="0"/>
          <c:showPercent val="0"/>
          <c:showBubbleSize val="0"/>
        </c:dLbls>
        <c:gapWidth val="219"/>
        <c:overlap val="-27"/>
        <c:axId val="489951848"/>
        <c:axId val="489952504"/>
      </c:barChart>
      <c:catAx>
        <c:axId val="489951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952504"/>
        <c:crosses val="autoZero"/>
        <c:auto val="1"/>
        <c:lblAlgn val="ctr"/>
        <c:lblOffset val="100"/>
        <c:noMultiLvlLbl val="0"/>
      </c:catAx>
      <c:valAx>
        <c:axId val="489952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951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3</a:t>
            </a:r>
            <a:r>
              <a:rPr lang="en-US" sz="1400" b="0" i="0" u="none" strike="noStrike" baseline="0">
                <a:effectLst/>
              </a:rPr>
              <a:t> - Frequency of Intent (Manner)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'4_1.3_Manner (2)'!$P$5</c:f>
              <c:strCache>
                <c:ptCount val="1"/>
                <c:pt idx="0">
                  <c:v>1 Unintentional</c:v>
                </c:pt>
              </c:strCache>
            </c:strRef>
          </c:tx>
          <c:spPr>
            <a:solidFill>
              <a:schemeClr val="accent1"/>
            </a:solidFill>
            <a:ln>
              <a:noFill/>
            </a:ln>
            <a:effectLst/>
          </c:spPr>
          <c:invertIfNegative val="0"/>
          <c:cat>
            <c:strRef>
              <c:f>'4_1.3_Manner (2)'!$Q$4:$U$4</c:f>
              <c:strCache>
                <c:ptCount val="5"/>
                <c:pt idx="0">
                  <c:v>Colorado</c:v>
                </c:pt>
                <c:pt idx="1">
                  <c:v>Kentucky</c:v>
                </c:pt>
                <c:pt idx="2">
                  <c:v>Louisiana</c:v>
                </c:pt>
                <c:pt idx="3">
                  <c:v>New Mexico</c:v>
                </c:pt>
                <c:pt idx="4">
                  <c:v>Tennessee</c:v>
                </c:pt>
              </c:strCache>
            </c:strRef>
          </c:cat>
          <c:val>
            <c:numRef>
              <c:f>'4_1.3_Manner (2)'!$Q$5:$U$5</c:f>
              <c:numCache>
                <c:formatCode>0.00%</c:formatCode>
                <c:ptCount val="5"/>
                <c:pt idx="0">
                  <c:v>0.43010752688172044</c:v>
                </c:pt>
                <c:pt idx="1">
                  <c:v>0.66557540202189514</c:v>
                </c:pt>
                <c:pt idx="2">
                  <c:v>0.48821966341895484</c:v>
                </c:pt>
                <c:pt idx="3">
                  <c:v>0.52545010002222714</c:v>
                </c:pt>
                <c:pt idx="4">
                  <c:v>0.49284003465321308</c:v>
                </c:pt>
              </c:numCache>
            </c:numRef>
          </c:val>
          <c:extLst>
            <c:ext xmlns:c16="http://schemas.microsoft.com/office/drawing/2014/chart" uri="{C3380CC4-5D6E-409C-BE32-E72D297353CC}">
              <c16:uniqueId val="{00000000-418C-4B05-9E9B-53B562CE9E76}"/>
            </c:ext>
          </c:extLst>
        </c:ser>
        <c:ser>
          <c:idx val="1"/>
          <c:order val="1"/>
          <c:tx>
            <c:strRef>
              <c:f>'4_1.3_Manner (2)'!$P$6</c:f>
              <c:strCache>
                <c:ptCount val="1"/>
                <c:pt idx="0">
                  <c:v>2 Self-Harm</c:v>
                </c:pt>
              </c:strCache>
            </c:strRef>
          </c:tx>
          <c:spPr>
            <a:solidFill>
              <a:schemeClr val="accent2"/>
            </a:solidFill>
            <a:ln>
              <a:noFill/>
            </a:ln>
            <a:effectLst/>
          </c:spPr>
          <c:invertIfNegative val="0"/>
          <c:cat>
            <c:strRef>
              <c:f>'4_1.3_Manner (2)'!$Q$4:$U$4</c:f>
              <c:strCache>
                <c:ptCount val="5"/>
                <c:pt idx="0">
                  <c:v>Colorado</c:v>
                </c:pt>
                <c:pt idx="1">
                  <c:v>Kentucky</c:v>
                </c:pt>
                <c:pt idx="2">
                  <c:v>Louisiana</c:v>
                </c:pt>
                <c:pt idx="3">
                  <c:v>New Mexico</c:v>
                </c:pt>
                <c:pt idx="4">
                  <c:v>Tennessee</c:v>
                </c:pt>
              </c:strCache>
            </c:strRef>
          </c:cat>
          <c:val>
            <c:numRef>
              <c:f>'4_1.3_Manner (2)'!$Q$6:$U$6</c:f>
              <c:numCache>
                <c:formatCode>0.00%</c:formatCode>
                <c:ptCount val="5"/>
                <c:pt idx="0">
                  <c:v>0.27502067824648468</c:v>
                </c:pt>
                <c:pt idx="1">
                  <c:v>0.14032790320046096</c:v>
                </c:pt>
                <c:pt idx="2">
                  <c:v>0.20062001771479185</c:v>
                </c:pt>
                <c:pt idx="3">
                  <c:v>0.26339186485885752</c:v>
                </c:pt>
                <c:pt idx="4">
                  <c:v>0.2275391122662182</c:v>
                </c:pt>
              </c:numCache>
            </c:numRef>
          </c:val>
          <c:extLst>
            <c:ext xmlns:c16="http://schemas.microsoft.com/office/drawing/2014/chart" uri="{C3380CC4-5D6E-409C-BE32-E72D297353CC}">
              <c16:uniqueId val="{00000001-418C-4B05-9E9B-53B562CE9E76}"/>
            </c:ext>
          </c:extLst>
        </c:ser>
        <c:ser>
          <c:idx val="2"/>
          <c:order val="2"/>
          <c:tx>
            <c:strRef>
              <c:f>'4_1.3_Manner (2)'!$P$7</c:f>
              <c:strCache>
                <c:ptCount val="1"/>
                <c:pt idx="0">
                  <c:v>3 Assault</c:v>
                </c:pt>
              </c:strCache>
            </c:strRef>
          </c:tx>
          <c:spPr>
            <a:solidFill>
              <a:schemeClr val="accent3"/>
            </a:solidFill>
            <a:ln>
              <a:noFill/>
            </a:ln>
            <a:effectLst/>
          </c:spPr>
          <c:invertIfNegative val="0"/>
          <c:cat>
            <c:strRef>
              <c:f>'4_1.3_Manner (2)'!$Q$4:$U$4</c:f>
              <c:strCache>
                <c:ptCount val="5"/>
                <c:pt idx="0">
                  <c:v>Colorado</c:v>
                </c:pt>
                <c:pt idx="1">
                  <c:v>Kentucky</c:v>
                </c:pt>
                <c:pt idx="2">
                  <c:v>Louisiana</c:v>
                </c:pt>
                <c:pt idx="3">
                  <c:v>New Mexico</c:v>
                </c:pt>
                <c:pt idx="4">
                  <c:v>Tennessee</c:v>
                </c:pt>
              </c:strCache>
            </c:strRef>
          </c:cat>
          <c:val>
            <c:numRef>
              <c:f>'4_1.3_Manner (2)'!$Q$7:$U$7</c:f>
              <c:numCache>
                <c:formatCode>0.00%</c:formatCode>
                <c:ptCount val="5"/>
                <c:pt idx="0">
                  <c:v>2.0678246484698098E-3</c:v>
                </c:pt>
                <c:pt idx="1">
                  <c:v>1.4928500340474569E-3</c:v>
                </c:pt>
                <c:pt idx="2">
                  <c:v>1.682905225863596E-3</c:v>
                </c:pt>
                <c:pt idx="3">
                  <c:v>2.88953100689042E-3</c:v>
                </c:pt>
                <c:pt idx="4">
                  <c:v>1.7326606533149874E-3</c:v>
                </c:pt>
              </c:numCache>
            </c:numRef>
          </c:val>
          <c:extLst>
            <c:ext xmlns:c16="http://schemas.microsoft.com/office/drawing/2014/chart" uri="{C3380CC4-5D6E-409C-BE32-E72D297353CC}">
              <c16:uniqueId val="{00000002-418C-4B05-9E9B-53B562CE9E76}"/>
            </c:ext>
          </c:extLst>
        </c:ser>
        <c:ser>
          <c:idx val="3"/>
          <c:order val="3"/>
          <c:tx>
            <c:strRef>
              <c:f>'4_1.3_Manner (2)'!$P$8</c:f>
              <c:strCache>
                <c:ptCount val="1"/>
                <c:pt idx="0">
                  <c:v>4 Undetermined</c:v>
                </c:pt>
              </c:strCache>
            </c:strRef>
          </c:tx>
          <c:spPr>
            <a:solidFill>
              <a:schemeClr val="accent4"/>
            </a:solidFill>
            <a:ln>
              <a:noFill/>
            </a:ln>
            <a:effectLst/>
          </c:spPr>
          <c:invertIfNegative val="0"/>
          <c:cat>
            <c:strRef>
              <c:f>'4_1.3_Manner (2)'!$Q$4:$U$4</c:f>
              <c:strCache>
                <c:ptCount val="5"/>
                <c:pt idx="0">
                  <c:v>Colorado</c:v>
                </c:pt>
                <c:pt idx="1">
                  <c:v>Kentucky</c:v>
                </c:pt>
                <c:pt idx="2">
                  <c:v>Louisiana</c:v>
                </c:pt>
                <c:pt idx="3">
                  <c:v>New Mexico</c:v>
                </c:pt>
                <c:pt idx="4">
                  <c:v>Tennessee</c:v>
                </c:pt>
              </c:strCache>
            </c:strRef>
          </c:cat>
          <c:val>
            <c:numRef>
              <c:f>'4_1.3_Manner (2)'!$Q$8:$U$8</c:f>
              <c:numCache>
                <c:formatCode>0.00%</c:formatCode>
                <c:ptCount val="5"/>
                <c:pt idx="0">
                  <c:v>5.1075268817204304E-2</c:v>
                </c:pt>
                <c:pt idx="1">
                  <c:v>2.9621287517678487E-2</c:v>
                </c:pt>
                <c:pt idx="2">
                  <c:v>3.3480956598759964E-2</c:v>
                </c:pt>
                <c:pt idx="3">
                  <c:v>3.9342076016892644E-2</c:v>
                </c:pt>
                <c:pt idx="4">
                  <c:v>2.8130255312643328E-2</c:v>
                </c:pt>
              </c:numCache>
            </c:numRef>
          </c:val>
          <c:extLst>
            <c:ext xmlns:c16="http://schemas.microsoft.com/office/drawing/2014/chart" uri="{C3380CC4-5D6E-409C-BE32-E72D297353CC}">
              <c16:uniqueId val="{00000003-418C-4B05-9E9B-53B562CE9E76}"/>
            </c:ext>
          </c:extLst>
        </c:ser>
        <c:ser>
          <c:idx val="4"/>
          <c:order val="4"/>
          <c:tx>
            <c:strRef>
              <c:f>'4_1.3_Manner (2)'!$P$9</c:f>
              <c:strCache>
                <c:ptCount val="1"/>
                <c:pt idx="0">
                  <c:v>5 Adverse Effect</c:v>
                </c:pt>
              </c:strCache>
            </c:strRef>
          </c:tx>
          <c:spPr>
            <a:solidFill>
              <a:schemeClr val="accent5"/>
            </a:solidFill>
            <a:ln>
              <a:noFill/>
            </a:ln>
            <a:effectLst/>
          </c:spPr>
          <c:invertIfNegative val="0"/>
          <c:cat>
            <c:strRef>
              <c:f>'4_1.3_Manner (2)'!$Q$4:$U$4</c:f>
              <c:strCache>
                <c:ptCount val="5"/>
                <c:pt idx="0">
                  <c:v>Colorado</c:v>
                </c:pt>
                <c:pt idx="1">
                  <c:v>Kentucky</c:v>
                </c:pt>
                <c:pt idx="2">
                  <c:v>Louisiana</c:v>
                </c:pt>
                <c:pt idx="3">
                  <c:v>New Mexico</c:v>
                </c:pt>
                <c:pt idx="4">
                  <c:v>Tennessee</c:v>
                </c:pt>
              </c:strCache>
            </c:strRef>
          </c:cat>
          <c:val>
            <c:numRef>
              <c:f>'4_1.3_Manner (2)'!$Q$9:$U$9</c:f>
              <c:numCache>
                <c:formatCode>0.00%</c:formatCode>
                <c:ptCount val="5"/>
                <c:pt idx="0">
                  <c:v>0.24017783291976841</c:v>
                </c:pt>
                <c:pt idx="1">
                  <c:v>0.16206589492430989</c:v>
                </c:pt>
                <c:pt idx="2">
                  <c:v>0.26961913197519927</c:v>
                </c:pt>
                <c:pt idx="3">
                  <c:v>0.16781507001555901</c:v>
                </c:pt>
                <c:pt idx="4">
                  <c:v>0.24695510370483617</c:v>
                </c:pt>
              </c:numCache>
            </c:numRef>
          </c:val>
          <c:extLst>
            <c:ext xmlns:c16="http://schemas.microsoft.com/office/drawing/2014/chart" uri="{C3380CC4-5D6E-409C-BE32-E72D297353CC}">
              <c16:uniqueId val="{00000004-418C-4B05-9E9B-53B562CE9E76}"/>
            </c:ext>
          </c:extLst>
        </c:ser>
        <c:ser>
          <c:idx val="5"/>
          <c:order val="5"/>
          <c:tx>
            <c:strRef>
              <c:f>'4_1.3_Manner (2)'!$P$10</c:f>
              <c:strCache>
                <c:ptCount val="1"/>
                <c:pt idx="0">
                  <c:v>6 Underdose</c:v>
                </c:pt>
              </c:strCache>
            </c:strRef>
          </c:tx>
          <c:spPr>
            <a:solidFill>
              <a:schemeClr val="accent6"/>
            </a:solidFill>
            <a:ln>
              <a:noFill/>
            </a:ln>
            <a:effectLst/>
          </c:spPr>
          <c:invertIfNegative val="0"/>
          <c:cat>
            <c:strRef>
              <c:f>'4_1.3_Manner (2)'!$Q$4:$U$4</c:f>
              <c:strCache>
                <c:ptCount val="5"/>
                <c:pt idx="0">
                  <c:v>Colorado</c:v>
                </c:pt>
                <c:pt idx="1">
                  <c:v>Kentucky</c:v>
                </c:pt>
                <c:pt idx="2">
                  <c:v>Louisiana</c:v>
                </c:pt>
                <c:pt idx="3">
                  <c:v>New Mexico</c:v>
                </c:pt>
                <c:pt idx="4">
                  <c:v>Tennessee</c:v>
                </c:pt>
              </c:strCache>
            </c:strRef>
          </c:cat>
          <c:val>
            <c:numRef>
              <c:f>'4_1.3_Manner (2)'!$Q$10:$U$10</c:f>
              <c:numCache>
                <c:formatCode>0.00%</c:formatCode>
                <c:ptCount val="5"/>
                <c:pt idx="0">
                  <c:v>1.5508684863523574E-3</c:v>
                </c:pt>
                <c:pt idx="1">
                  <c:v>9.1666230160808763E-4</c:v>
                </c:pt>
                <c:pt idx="2">
                  <c:v>6.3773250664304693E-3</c:v>
                </c:pt>
                <c:pt idx="3">
                  <c:v>1.1113580795732384E-3</c:v>
                </c:pt>
                <c:pt idx="4">
                  <c:v>2.8028334097742447E-3</c:v>
                </c:pt>
              </c:numCache>
            </c:numRef>
          </c:val>
          <c:extLst>
            <c:ext xmlns:c16="http://schemas.microsoft.com/office/drawing/2014/chart" uri="{C3380CC4-5D6E-409C-BE32-E72D297353CC}">
              <c16:uniqueId val="{00000005-418C-4B05-9E9B-53B562CE9E76}"/>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4_1a. Number of drug T-codes per record, CSTE Proposed Case Definition 1.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'4_1.1a'!$A$29</c:f>
              <c:strCache>
                <c:ptCount val="1"/>
                <c:pt idx="0">
                  <c:v>CO</c:v>
                </c:pt>
              </c:strCache>
            </c:strRef>
          </c:tx>
          <c:spPr>
            <a:solidFill>
              <a:schemeClr val="accent1"/>
            </a:solidFill>
            <a:ln>
              <a:noFill/>
            </a:ln>
            <a:effectLst/>
          </c:spPr>
          <c:invertIfNegative val="0"/>
          <c:cat>
            <c:strRef>
              <c:f>'4_1.1a'!$B$28:$I$28</c:f>
              <c:strCache>
                <c:ptCount val="8"/>
                <c:pt idx="0">
                  <c:v>1 code</c:v>
                </c:pt>
                <c:pt idx="1">
                  <c:v>2 codes</c:v>
                </c:pt>
                <c:pt idx="2">
                  <c:v>3 codes</c:v>
                </c:pt>
                <c:pt idx="3">
                  <c:v>4 codes</c:v>
                </c:pt>
                <c:pt idx="4">
                  <c:v>5 codes</c:v>
                </c:pt>
                <c:pt idx="5">
                  <c:v>6 codes</c:v>
                </c:pt>
                <c:pt idx="6">
                  <c:v>7 codes</c:v>
                </c:pt>
                <c:pt idx="7">
                  <c:v>8+ codes</c:v>
                </c:pt>
              </c:strCache>
            </c:strRef>
          </c:cat>
          <c:val>
            <c:numRef>
              <c:f>'4_1.1a'!$B$29:$I$29</c:f>
              <c:numCache>
                <c:formatCode>0.0%</c:formatCode>
                <c:ptCount val="8"/>
                <c:pt idx="0">
                  <c:v>0.86010362694300513</c:v>
                </c:pt>
                <c:pt idx="1">
                  <c:v>0.10239978183801472</c:v>
                </c:pt>
                <c:pt idx="2">
                  <c:v>2.6724843196073083E-2</c:v>
                </c:pt>
                <c:pt idx="3">
                  <c:v>7.6356694845923102E-3</c:v>
                </c:pt>
                <c:pt idx="4">
                  <c:v>2.1816198527406599E-3</c:v>
                </c:pt>
                <c:pt idx="5">
                  <c:v>5.4540496318516497E-4</c:v>
                </c:pt>
                <c:pt idx="6">
                  <c:v>2.7270248159258248E-4</c:v>
                </c:pt>
                <c:pt idx="7">
                  <c:v>1.3635124079629124E-4</c:v>
                </c:pt>
              </c:numCache>
            </c:numRef>
          </c:val>
          <c:extLst>
            <c:ext xmlns:c16="http://schemas.microsoft.com/office/drawing/2014/chart" uri="{C3380CC4-5D6E-409C-BE32-E72D297353CC}">
              <c16:uniqueId val="{00000000-BB57-9742-9A68-0C516284CF83}"/>
            </c:ext>
          </c:extLst>
        </c:ser>
        <c:ser>
          <c:idx val="1"/>
          <c:order val="1"/>
          <c:tx>
            <c:strRef>
              <c:f>'4_1.1a'!$A$30</c:f>
              <c:strCache>
                <c:ptCount val="1"/>
                <c:pt idx="0">
                  <c:v>KY</c:v>
                </c:pt>
              </c:strCache>
            </c:strRef>
          </c:tx>
          <c:spPr>
            <a:solidFill>
              <a:schemeClr val="accent2"/>
            </a:solidFill>
            <a:ln>
              <a:noFill/>
            </a:ln>
            <a:effectLst/>
          </c:spPr>
          <c:invertIfNegative val="0"/>
          <c:cat>
            <c:strRef>
              <c:f>'4_1.1a'!$B$28:$I$28</c:f>
              <c:strCache>
                <c:ptCount val="8"/>
                <c:pt idx="0">
                  <c:v>1 code</c:v>
                </c:pt>
                <c:pt idx="1">
                  <c:v>2 codes</c:v>
                </c:pt>
                <c:pt idx="2">
                  <c:v>3 codes</c:v>
                </c:pt>
                <c:pt idx="3">
                  <c:v>4 codes</c:v>
                </c:pt>
                <c:pt idx="4">
                  <c:v>5 codes</c:v>
                </c:pt>
                <c:pt idx="5">
                  <c:v>6 codes</c:v>
                </c:pt>
                <c:pt idx="6">
                  <c:v>7 codes</c:v>
                </c:pt>
                <c:pt idx="7">
                  <c:v>8+ codes</c:v>
                </c:pt>
              </c:strCache>
            </c:strRef>
          </c:cat>
          <c:val>
            <c:numRef>
              <c:f>'4_1.1a'!$B$30:$I$30</c:f>
              <c:numCache>
                <c:formatCode>0.0%</c:formatCode>
                <c:ptCount val="8"/>
                <c:pt idx="0">
                  <c:v>0.90125003916162783</c:v>
                </c:pt>
                <c:pt idx="1">
                  <c:v>7.2057395281807074E-2</c:v>
                </c:pt>
                <c:pt idx="2">
                  <c:v>1.9424167423791473E-2</c:v>
                </c:pt>
                <c:pt idx="3">
                  <c:v>4.4800902283906137E-3</c:v>
                </c:pt>
                <c:pt idx="4">
                  <c:v>1.31583069645039E-3</c:v>
                </c:pt>
                <c:pt idx="5">
                  <c:v>8.4589116200382212E-4</c:v>
                </c:pt>
                <c:pt idx="6">
                  <c:v>3.4462232526081643E-4</c:v>
                </c:pt>
                <c:pt idx="7">
                  <c:v>2.8196372066794073E-4</c:v>
                </c:pt>
              </c:numCache>
            </c:numRef>
          </c:val>
          <c:extLst>
            <c:ext xmlns:c16="http://schemas.microsoft.com/office/drawing/2014/chart" uri="{C3380CC4-5D6E-409C-BE32-E72D297353CC}">
              <c16:uniqueId val="{00000001-BB57-9742-9A68-0C516284CF83}"/>
            </c:ext>
          </c:extLst>
        </c:ser>
        <c:ser>
          <c:idx val="2"/>
          <c:order val="2"/>
          <c:tx>
            <c:strRef>
              <c:f>'4_1.1a'!$A$31</c:f>
              <c:strCache>
                <c:ptCount val="1"/>
                <c:pt idx="0">
                  <c:v>LA</c:v>
                </c:pt>
              </c:strCache>
            </c:strRef>
          </c:tx>
          <c:spPr>
            <a:solidFill>
              <a:schemeClr val="accent3"/>
            </a:solidFill>
            <a:ln>
              <a:noFill/>
            </a:ln>
            <a:effectLst/>
          </c:spPr>
          <c:invertIfNegative val="0"/>
          <c:cat>
            <c:strRef>
              <c:f>'4_1.1a'!$B$28:$I$28</c:f>
              <c:strCache>
                <c:ptCount val="8"/>
                <c:pt idx="0">
                  <c:v>1 code</c:v>
                </c:pt>
                <c:pt idx="1">
                  <c:v>2 codes</c:v>
                </c:pt>
                <c:pt idx="2">
                  <c:v>3 codes</c:v>
                </c:pt>
                <c:pt idx="3">
                  <c:v>4 codes</c:v>
                </c:pt>
                <c:pt idx="4">
                  <c:v>5 codes</c:v>
                </c:pt>
                <c:pt idx="5">
                  <c:v>6 codes</c:v>
                </c:pt>
                <c:pt idx="6">
                  <c:v>7 codes</c:v>
                </c:pt>
                <c:pt idx="7">
                  <c:v>8+ codes</c:v>
                </c:pt>
              </c:strCache>
            </c:strRef>
          </c:cat>
          <c:val>
            <c:numRef>
              <c:f>'4_1.1a'!$B$31:$I$31</c:f>
              <c:numCache>
                <c:formatCode>0.0%</c:formatCode>
                <c:ptCount val="8"/>
                <c:pt idx="0">
                  <c:v>0.47369708832884755</c:v>
                </c:pt>
                <c:pt idx="1">
                  <c:v>0.39246390995840469</c:v>
                </c:pt>
                <c:pt idx="2">
                  <c:v>9.3222412527526305E-2</c:v>
                </c:pt>
                <c:pt idx="3">
                  <c:v>2.6914607291411794E-2</c:v>
                </c:pt>
                <c:pt idx="4">
                  <c:v>9.1754343038903848E-3</c:v>
                </c:pt>
                <c:pt idx="5">
                  <c:v>2.5691216050893074E-3</c:v>
                </c:pt>
                <c:pt idx="6">
                  <c:v>1.1010521164668461E-3</c:v>
                </c:pt>
                <c:pt idx="7">
                  <c:v>8.5637386836310257E-4</c:v>
                </c:pt>
              </c:numCache>
            </c:numRef>
          </c:val>
          <c:extLst>
            <c:ext xmlns:c16="http://schemas.microsoft.com/office/drawing/2014/chart" uri="{C3380CC4-5D6E-409C-BE32-E72D297353CC}">
              <c16:uniqueId val="{00000002-BB57-9742-9A68-0C516284CF83}"/>
            </c:ext>
          </c:extLst>
        </c:ser>
        <c:ser>
          <c:idx val="3"/>
          <c:order val="3"/>
          <c:tx>
            <c:strRef>
              <c:f>'4_1.1a'!$A$32</c:f>
              <c:strCache>
                <c:ptCount val="1"/>
                <c:pt idx="0">
                  <c:v>NM</c:v>
                </c:pt>
              </c:strCache>
            </c:strRef>
          </c:tx>
          <c:spPr>
            <a:solidFill>
              <a:schemeClr val="accent4"/>
            </a:solidFill>
            <a:ln>
              <a:noFill/>
            </a:ln>
            <a:effectLst/>
          </c:spPr>
          <c:invertIfNegative val="0"/>
          <c:cat>
            <c:strRef>
              <c:f>'4_1.1a'!$B$28:$I$28</c:f>
              <c:strCache>
                <c:ptCount val="8"/>
                <c:pt idx="0">
                  <c:v>1 code</c:v>
                </c:pt>
                <c:pt idx="1">
                  <c:v>2 codes</c:v>
                </c:pt>
                <c:pt idx="2">
                  <c:v>3 codes</c:v>
                </c:pt>
                <c:pt idx="3">
                  <c:v>4 codes</c:v>
                </c:pt>
                <c:pt idx="4">
                  <c:v>5 codes</c:v>
                </c:pt>
                <c:pt idx="5">
                  <c:v>6 codes</c:v>
                </c:pt>
                <c:pt idx="6">
                  <c:v>7 codes</c:v>
                </c:pt>
                <c:pt idx="7">
                  <c:v>8+ codes</c:v>
                </c:pt>
              </c:strCache>
            </c:strRef>
          </c:cat>
          <c:val>
            <c:numRef>
              <c:f>'4_1.1a'!$B$32:$I$32</c:f>
              <c:numCache>
                <c:formatCode>0.0%</c:formatCode>
                <c:ptCount val="8"/>
                <c:pt idx="0">
                  <c:v>0.79031826691628781</c:v>
                </c:pt>
                <c:pt idx="1">
                  <c:v>0.15592404386199518</c:v>
                </c:pt>
                <c:pt idx="2">
                  <c:v>3.9850227333511637E-2</c:v>
                </c:pt>
                <c:pt idx="3">
                  <c:v>9.0933404653650712E-3</c:v>
                </c:pt>
                <c:pt idx="4">
                  <c:v>4.0117678523669429E-3</c:v>
                </c:pt>
                <c:pt idx="5">
                  <c:v>5.3490238031559236E-4</c:v>
                </c:pt>
                <c:pt idx="6">
                  <c:v>0</c:v>
                </c:pt>
                <c:pt idx="7">
                  <c:v>2.6745119015779618E-4</c:v>
                </c:pt>
              </c:numCache>
            </c:numRef>
          </c:val>
          <c:extLst>
            <c:ext xmlns:c16="http://schemas.microsoft.com/office/drawing/2014/chart" uri="{C3380CC4-5D6E-409C-BE32-E72D297353CC}">
              <c16:uniqueId val="{00000003-BB57-9742-9A68-0C516284CF83}"/>
            </c:ext>
          </c:extLst>
        </c:ser>
        <c:ser>
          <c:idx val="4"/>
          <c:order val="4"/>
          <c:tx>
            <c:strRef>
              <c:f>'4_1.1a'!$A$33</c:f>
              <c:strCache>
                <c:ptCount val="1"/>
                <c:pt idx="0">
                  <c:v>TN</c:v>
                </c:pt>
              </c:strCache>
            </c:strRef>
          </c:tx>
          <c:spPr>
            <a:solidFill>
              <a:schemeClr val="accent5"/>
            </a:solidFill>
            <a:ln>
              <a:noFill/>
            </a:ln>
            <a:effectLst/>
          </c:spPr>
          <c:invertIfNegative val="0"/>
          <c:cat>
            <c:strRef>
              <c:f>'4_1.1a'!$B$28:$I$28</c:f>
              <c:strCache>
                <c:ptCount val="8"/>
                <c:pt idx="0">
                  <c:v>1 code</c:v>
                </c:pt>
                <c:pt idx="1">
                  <c:v>2 codes</c:v>
                </c:pt>
                <c:pt idx="2">
                  <c:v>3 codes</c:v>
                </c:pt>
                <c:pt idx="3">
                  <c:v>4 codes</c:v>
                </c:pt>
                <c:pt idx="4">
                  <c:v>5 codes</c:v>
                </c:pt>
                <c:pt idx="5">
                  <c:v>6 codes</c:v>
                </c:pt>
                <c:pt idx="6">
                  <c:v>7 codes</c:v>
                </c:pt>
                <c:pt idx="7">
                  <c:v>8+ codes</c:v>
                </c:pt>
              </c:strCache>
            </c:strRef>
          </c:cat>
          <c:val>
            <c:numRef>
              <c:f>'4_1.1a'!$B$33:$I$33</c:f>
              <c:numCache>
                <c:formatCode>0.0%</c:formatCode>
                <c:ptCount val="8"/>
                <c:pt idx="0">
                  <c:v>0.85022415432685772</c:v>
                </c:pt>
                <c:pt idx="1">
                  <c:v>0.10766200244531993</c:v>
                </c:pt>
                <c:pt idx="2">
                  <c:v>3.0430648009781281E-2</c:v>
                </c:pt>
                <c:pt idx="3">
                  <c:v>8.0152153240048915E-3</c:v>
                </c:pt>
                <c:pt idx="4">
                  <c:v>2.3094688221709007E-3</c:v>
                </c:pt>
                <c:pt idx="5">
                  <c:v>1.0188833038989268E-3</c:v>
                </c:pt>
                <c:pt idx="6">
                  <c:v>1.3585110718652356E-4</c:v>
                </c:pt>
                <c:pt idx="7">
                  <c:v>2.0377666077978535E-4</c:v>
                </c:pt>
              </c:numCache>
            </c:numRef>
          </c:val>
          <c:extLst>
            <c:ext xmlns:c16="http://schemas.microsoft.com/office/drawing/2014/chart" uri="{C3380CC4-5D6E-409C-BE32-E72D297353CC}">
              <c16:uniqueId val="{00000004-BB57-9742-9A68-0C516284CF83}"/>
            </c:ext>
          </c:extLst>
        </c:ser>
        <c:dLbls>
          <c:showLegendKey val="0"/>
          <c:showVal val="0"/>
          <c:showCatName val="0"/>
          <c:showSerName val="0"/>
          <c:showPercent val="0"/>
          <c:showBubbleSize val="0"/>
        </c:dLbls>
        <c:gapWidth val="219"/>
        <c:overlap val="-27"/>
        <c:axId val="379060384"/>
        <c:axId val="379062112"/>
      </c:barChart>
      <c:catAx>
        <c:axId val="37906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2112"/>
        <c:crosses val="autoZero"/>
        <c:auto val="1"/>
        <c:lblAlgn val="ctr"/>
        <c:lblOffset val="100"/>
        <c:noMultiLvlLbl val="0"/>
      </c:catAx>
      <c:valAx>
        <c:axId val="379062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ysClr val="window" lastClr="FFFFFF">
                <a:lumMod val="75000"/>
              </a:sys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906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6.xml"/><Relationship Id="rId7" Type="http://schemas.openxmlformats.org/officeDocument/2006/relationships/chart" Target="../charts/chart20.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5" Type="http://schemas.openxmlformats.org/officeDocument/2006/relationships/chart" Target="../charts/chart18.xml"/><Relationship Id="rId4"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5" Type="http://schemas.openxmlformats.org/officeDocument/2006/relationships/chart" Target="../charts/chart25.xml"/><Relationship Id="rId4" Type="http://schemas.openxmlformats.org/officeDocument/2006/relationships/chart" Target="../charts/chart24.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18.xml.rels><?xml version="1.0" encoding="UTF-8" standalone="yes"?>
<Relationships xmlns="http://schemas.openxmlformats.org/package/2006/relationships"><Relationship Id="rId8" Type="http://schemas.openxmlformats.org/officeDocument/2006/relationships/chart" Target="../charts/chart46.xml"/><Relationship Id="rId3" Type="http://schemas.openxmlformats.org/officeDocument/2006/relationships/chart" Target="../charts/chart41.xml"/><Relationship Id="rId7" Type="http://schemas.openxmlformats.org/officeDocument/2006/relationships/chart" Target="../charts/chart45.xml"/><Relationship Id="rId2" Type="http://schemas.openxmlformats.org/officeDocument/2006/relationships/chart" Target="../charts/chart40.xml"/><Relationship Id="rId1" Type="http://schemas.openxmlformats.org/officeDocument/2006/relationships/chart" Target="../charts/chart39.xml"/><Relationship Id="rId6" Type="http://schemas.openxmlformats.org/officeDocument/2006/relationships/chart" Target="../charts/chart44.xml"/><Relationship Id="rId5" Type="http://schemas.openxmlformats.org/officeDocument/2006/relationships/chart" Target="../charts/chart43.xml"/><Relationship Id="rId4"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48.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4053840"/>
          <a:ext cx="7299960" cy="361188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rgbClr val="FF0000"/>
              </a:solidFill>
              <a:effectLst/>
              <a:latin typeface="+mn-lt"/>
              <a:ea typeface="+mn-ea"/>
              <a:cs typeface="+mn-cs"/>
            </a:rPr>
            <a:t>Exclude records of patients seen in the ED and then admitted to the hospital. For most states, these records are not included in the ED data set. *****Note that the PfS indicators also exclude cases with a disposition status of deceased,</a:t>
          </a:r>
          <a:r>
            <a:rPr lang="en-US" sz="1100" baseline="0">
              <a:solidFill>
                <a:srgbClr val="FF0000"/>
              </a:solidFill>
              <a:effectLst/>
              <a:latin typeface="+mn-lt"/>
              <a:ea typeface="+mn-ea"/>
              <a:cs typeface="+mn-cs"/>
            </a:rPr>
            <a:t> however those cases are included for this analysis. </a:t>
          </a:r>
          <a:endParaRPr lang="en-US" sz="1100">
            <a:solidFill>
              <a:srgbClr val="FF0000"/>
            </a:solidFill>
            <a:effectLst/>
            <a:latin typeface="+mn-lt"/>
            <a:ea typeface="+mn-ea"/>
            <a:cs typeface="+mn-cs"/>
          </a:endParaRPr>
        </a:p>
        <a:p>
          <a:pPr lvl="2"/>
          <a:r>
            <a:rPr lang="en-US" sz="1100">
              <a:solidFill>
                <a:schemeClr val="dk1"/>
              </a:solidFill>
              <a:effectLst/>
              <a:latin typeface="+mn-lt"/>
              <a:ea typeface="+mn-ea"/>
              <a:cs typeface="+mn-cs"/>
            </a:rPr>
            <a:t>Include all </a:t>
          </a:r>
          <a:r>
            <a:rPr lang="en-US" sz="1100">
              <a:solidFill>
                <a:sysClr val="windowText" lastClr="000000"/>
              </a:solidFill>
              <a:effectLst/>
              <a:latin typeface="+mn-lt"/>
              <a:ea typeface="+mn-ea"/>
              <a:cs typeface="+mn-cs"/>
            </a:rPr>
            <a:t>admission types</a:t>
          </a:r>
          <a:endParaRPr lang="en-US" sz="1100">
            <a:solidFill>
              <a:schemeClr val="dk1"/>
            </a:solidFill>
            <a:effectLst/>
            <a:latin typeface="+mn-lt"/>
            <a:ea typeface="+mn-ea"/>
            <a:cs typeface="+mn-cs"/>
          </a:endParaRP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20</xdr:row>
      <xdr:rowOff>129540</xdr:rowOff>
    </xdr:from>
    <xdr:to>
      <xdr:col>5</xdr:col>
      <xdr:colOff>784860</xdr:colOff>
      <xdr:row>42</xdr:row>
      <xdr:rowOff>175260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4312920"/>
          <a:ext cx="6903720" cy="4069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1b - Frequency of individual drug T codes</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frequency distribution of individual poisoning T Codes across the dataset of records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frequency with which each individual T code appears in the dataset (e.g. In MT, there are 214 instances of T40 across the dataset). Note that a T-code could appear in a single record more than once, for example, a single record might contain both T40.1 and T40.5, and in this case, you will count T40 twice. The total number of T codes you identify will be higher than the total number of drug poisoning records in your dataset.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Specific codes allow us to identify which classes of drugs are responsible for the most poisoning admissions.  Certain jurisdictions may see more poisonings based on geographic and legal variation, such as legality of cannabis, availability of licit and illicit opioids, and methamphetamine production. This information could determine which sub-indicators to prioritize in future explorations.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xdr:txBody>
    </xdr:sp>
    <xdr:clientData/>
  </xdr:twoCellAnchor>
  <xdr:twoCellAnchor>
    <xdr:from>
      <xdr:col>12</xdr:col>
      <xdr:colOff>584200</xdr:colOff>
      <xdr:row>19</xdr:row>
      <xdr:rowOff>114300</xdr:rowOff>
    </xdr:from>
    <xdr:to>
      <xdr:col>19</xdr:col>
      <xdr:colOff>533400</xdr:colOff>
      <xdr:row>34</xdr:row>
      <xdr:rowOff>0</xdr:rowOff>
    </xdr:to>
    <xdr:graphicFrame macro="">
      <xdr:nvGraphicFramePr>
        <xdr:cNvPr id="4" name="Chart 3">
          <a:extLst>
            <a:ext uri="{FF2B5EF4-FFF2-40B4-BE49-F238E27FC236}">
              <a16:creationId xmlns:a16="http://schemas.microsoft.com/office/drawing/2014/main" id="{AF624C9F-A5C6-814C-8678-24523ABCA9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20</xdr:row>
      <xdr:rowOff>0</xdr:rowOff>
    </xdr:from>
    <xdr:to>
      <xdr:col>27</xdr:col>
      <xdr:colOff>530225</xdr:colOff>
      <xdr:row>40</xdr:row>
      <xdr:rowOff>114300</xdr:rowOff>
    </xdr:to>
    <xdr:graphicFrame macro="">
      <xdr:nvGraphicFramePr>
        <xdr:cNvPr id="5" name="Chart 4">
          <a:extLst>
            <a:ext uri="{FF2B5EF4-FFF2-40B4-BE49-F238E27FC236}">
              <a16:creationId xmlns:a16="http://schemas.microsoft.com/office/drawing/2014/main" id="{61D68A2E-14CF-4BC0-970A-C900691796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7620</xdr:rowOff>
    </xdr:from>
    <xdr:to>
      <xdr:col>5</xdr:col>
      <xdr:colOff>739140</xdr:colOff>
      <xdr:row>34</xdr:row>
      <xdr:rowOff>175260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0" y="314706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3</a:t>
          </a:r>
          <a:r>
            <a:rPr lang="en-US" sz="1100">
              <a:solidFill>
                <a:schemeClr val="dk1"/>
              </a:solidFill>
              <a:effectLst/>
              <a:latin typeface="+mn-lt"/>
              <a:ea typeface="+mn-ea"/>
              <a:cs typeface="+mn-cs"/>
            </a:rPr>
            <a:t> - Frequency of Intent (Manner), (Allowing adverse effect, underdosing, and missing)</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case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definition 1</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xdr:txBody>
    </xdr:sp>
    <xdr:clientData/>
  </xdr:twoCellAnchor>
  <xdr:twoCellAnchor>
    <xdr:from>
      <xdr:col>6</xdr:col>
      <xdr:colOff>45720</xdr:colOff>
      <xdr:row>11</xdr:row>
      <xdr:rowOff>520700</xdr:rowOff>
    </xdr:from>
    <xdr:to>
      <xdr:col>13</xdr:col>
      <xdr:colOff>350520</xdr:colOff>
      <xdr:row>26</xdr:row>
      <xdr:rowOff>154940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28</xdr:row>
      <xdr:rowOff>0</xdr:rowOff>
    </xdr:from>
    <xdr:to>
      <xdr:col>0</xdr:col>
      <xdr:colOff>5166360</xdr:colOff>
      <xdr:row>54</xdr:row>
      <xdr:rowOff>114300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6507480"/>
          <a:ext cx="5166360" cy="4869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4</a:t>
          </a:r>
          <a:r>
            <a:rPr lang="en-US" sz="1100">
              <a:solidFill>
                <a:schemeClr val="dk1"/>
              </a:solidFill>
              <a:effectLst/>
              <a:latin typeface="+mn-lt"/>
              <a:ea typeface="+mn-ea"/>
              <a:cs typeface="+mn-cs"/>
            </a:rPr>
            <a:t> - Presence of other external cause codes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non-drug external cause codes present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first-valid, non-drug external cause code. (valid, non-drug external cause codes include: T07, T14, T15, T20, T26, T30, T33, T36, T51, T66, T79, T80, V00, V10, V20, V30, V40, V50, V60, V70, V80, V90, V95, V98, W00, W20, W50, W65, W85, X00, X10, X30, X50, X52, X71, X92, Y21, Y35, Y62, Y70, Y83, Y90). Identify the number of times each non-drug external cause code appears as the first-valid, non-drug external cause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external causes of injury are identified in the record concurrently with poisoning. This may help us to characterize cases picked up using the proposed case definition. Initial results from MT, NM, KY, and CO show relatively few drug-poisoning admissions are associated with other external causes.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xdr:txBody>
    </xdr:sp>
    <xdr:clientData/>
  </xdr:twoCellAnchor>
  <xdr:twoCellAnchor>
    <xdr:from>
      <xdr:col>9</xdr:col>
      <xdr:colOff>206375</xdr:colOff>
      <xdr:row>30</xdr:row>
      <xdr:rowOff>57150</xdr:rowOff>
    </xdr:from>
    <xdr:to>
      <xdr:col>19</xdr:col>
      <xdr:colOff>531813</xdr:colOff>
      <xdr:row>46</xdr:row>
      <xdr:rowOff>95250</xdr:rowOff>
    </xdr:to>
    <xdr:graphicFrame macro="">
      <xdr:nvGraphicFramePr>
        <xdr:cNvPr id="3" name="Chart 2">
          <a:extLst>
            <a:ext uri="{FF2B5EF4-FFF2-40B4-BE49-F238E27FC236}">
              <a16:creationId xmlns:a16="http://schemas.microsoft.com/office/drawing/2014/main" id="{03AD1445-6027-6D45-9374-4EE018B16B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27</xdr:row>
      <xdr:rowOff>105834</xdr:rowOff>
    </xdr:from>
    <xdr:to>
      <xdr:col>34</xdr:col>
      <xdr:colOff>18522</xdr:colOff>
      <xdr:row>54</xdr:row>
      <xdr:rowOff>158750</xdr:rowOff>
    </xdr:to>
    <xdr:graphicFrame macro="">
      <xdr:nvGraphicFramePr>
        <xdr:cNvPr id="4" name="Chart 3">
          <a:extLst>
            <a:ext uri="{FF2B5EF4-FFF2-40B4-BE49-F238E27FC236}">
              <a16:creationId xmlns:a16="http://schemas.microsoft.com/office/drawing/2014/main" id="{9F0A2BBA-055A-4972-8C9C-D750C852B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60960</xdr:colOff>
      <xdr:row>36</xdr:row>
      <xdr:rowOff>83820</xdr:rowOff>
    </xdr:from>
    <xdr:to>
      <xdr:col>7</xdr:col>
      <xdr:colOff>365760</xdr:colOff>
      <xdr:row>59</xdr:row>
      <xdr:rowOff>91440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60960" y="7018020"/>
          <a:ext cx="5166360" cy="421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6</a:t>
          </a:r>
          <a:r>
            <a:rPr lang="en-US" sz="1100">
              <a:solidFill>
                <a:schemeClr val="dk1"/>
              </a:solidFill>
              <a:effectLst/>
              <a:latin typeface="+mn-lt"/>
              <a:ea typeface="+mn-ea"/>
              <a:cs typeface="+mn-cs"/>
            </a:rPr>
            <a:t> - For Records with Any Mention of Drug Poisoning, Field of First Mention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field position of first-mentioned drug poisoning T-code in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Searching the principal diagnosis first, then secondary diagnosis fields, then external cause fields, identify the position (field) of the first-mentioned drug poisoning T-code in the record. </a:t>
          </a:r>
        </a:p>
        <a:p>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help us determine the numeric effect of limiting the case definition to a particular number of fields. This analysis also serves as a data quality check for states with dedicated external cause fields to ensure that no drug-poisoning T-codes are mistakenly located in external cause fields. </a:t>
          </a:r>
        </a:p>
        <a:p>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a:p>
          <a:endParaRPr lang="en-US" sz="1100"/>
        </a:p>
      </xdr:txBody>
    </xdr:sp>
    <xdr:clientData/>
  </xdr:twoCellAnchor>
  <xdr:twoCellAnchor>
    <xdr:from>
      <xdr:col>1</xdr:col>
      <xdr:colOff>150585</xdr:colOff>
      <xdr:row>55</xdr:row>
      <xdr:rowOff>31205</xdr:rowOff>
    </xdr:from>
    <xdr:to>
      <xdr:col>14</xdr:col>
      <xdr:colOff>193040</xdr:colOff>
      <xdr:row>79</xdr:row>
      <xdr:rowOff>23586</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177437</xdr:colOff>
      <xdr:row>36</xdr:row>
      <xdr:rowOff>144780</xdr:rowOff>
    </xdr:from>
    <xdr:to>
      <xdr:col>15</xdr:col>
      <xdr:colOff>482237</xdr:colOff>
      <xdr:row>51</xdr:row>
      <xdr:rowOff>137159</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394062</xdr:colOff>
      <xdr:row>37</xdr:row>
      <xdr:rowOff>18142</xdr:rowOff>
    </xdr:from>
    <xdr:to>
      <xdr:col>28</xdr:col>
      <xdr:colOff>650966</xdr:colOff>
      <xdr:row>56</xdr:row>
      <xdr:rowOff>56243</xdr:rowOff>
    </xdr:to>
    <xdr:graphicFrame macro="">
      <xdr:nvGraphicFramePr>
        <xdr:cNvPr id="6" name="Chart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32</xdr:row>
      <xdr:rowOff>68580</xdr:rowOff>
    </xdr:from>
    <xdr:to>
      <xdr:col>0</xdr:col>
      <xdr:colOff>5166360</xdr:colOff>
      <xdr:row>55</xdr:row>
      <xdr:rowOff>60960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0" y="613410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7</a:t>
          </a:r>
          <a:r>
            <a:rPr lang="en-US" sz="1100">
              <a:solidFill>
                <a:schemeClr val="dk1"/>
              </a:solidFill>
              <a:effectLst/>
              <a:latin typeface="+mn-lt"/>
              <a:ea typeface="+mn-ea"/>
              <a:cs typeface="+mn-cs"/>
            </a:rPr>
            <a:t> - For Records with Any Mention, Chapter of Principal/first listed Diagnosis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10CM Chapter identified in the principal diagnosis field for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Note that this includes cases for which a drug poisoning T-code is found in the principal diagnosis field.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Identify the chapter of the code found in the principal diagnosis field for each record.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(broadly) what the principal diagnosis is when a drug poisoning is a secondary diagnosis. This analysis will help us to characterize additional cases picked up using an any-mention approach (proposed case definition 2).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a:p>
          <a:endParaRPr lang="en-US" sz="1100"/>
        </a:p>
      </xdr:txBody>
    </xdr:sp>
    <xdr:clientData/>
  </xdr:twoCellAnchor>
  <xdr:twoCellAnchor>
    <xdr:from>
      <xdr:col>10</xdr:col>
      <xdr:colOff>469900</xdr:colOff>
      <xdr:row>35</xdr:row>
      <xdr:rowOff>104140</xdr:rowOff>
    </xdr:from>
    <xdr:to>
      <xdr:col>17</xdr:col>
      <xdr:colOff>571500</xdr:colOff>
      <xdr:row>56</xdr:row>
      <xdr:rowOff>58420</xdr:rowOff>
    </xdr:to>
    <xdr:graphicFrame macro="">
      <xdr:nvGraphicFramePr>
        <xdr:cNvPr id="5" name="Chart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36</xdr:row>
      <xdr:rowOff>0</xdr:rowOff>
    </xdr:from>
    <xdr:to>
      <xdr:col>29</xdr:col>
      <xdr:colOff>426720</xdr:colOff>
      <xdr:row>56</xdr:row>
      <xdr:rowOff>144780</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53340</xdr:colOff>
      <xdr:row>7</xdr:row>
      <xdr:rowOff>121920</xdr:rowOff>
    </xdr:from>
    <xdr:to>
      <xdr:col>9</xdr:col>
      <xdr:colOff>22860</xdr:colOff>
      <xdr:row>34</xdr:row>
      <xdr:rowOff>121920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53340" y="1897380"/>
          <a:ext cx="4846320" cy="4937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11 </a:t>
          </a:r>
          <a:r>
            <a:rPr lang="en-US" sz="1100">
              <a:solidFill>
                <a:schemeClr val="dk1"/>
              </a:solidFill>
              <a:effectLst/>
              <a:latin typeface="+mn-lt"/>
              <a:ea typeface="+mn-ea"/>
              <a:cs typeface="+mn-cs"/>
            </a:rPr>
            <a:t>- Individuals who Expired</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ratio of drug hospitalizations with a disposition/discharge status of expired/deceased to all other drug hospitalizations meeting criteria for </a:t>
          </a:r>
          <a:r>
            <a:rPr lang="en-US" sz="1100" b="1">
              <a:solidFill>
                <a:schemeClr val="dk1"/>
              </a:solidFill>
              <a:effectLst/>
              <a:latin typeface="+mn-lt"/>
              <a:ea typeface="+mn-ea"/>
              <a:cs typeface="+mn-cs"/>
            </a:rPr>
            <a:t>proposed case definition 1.</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and flag records with any discharge status indicating the patient’s death (e.g. "Expired in a medical facility” or “Expired at home”).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CDC’s ICD-9-CM PfS / DDPI toolkit indicators exclude individuals who expire, whereas injury and poisoning indicators from CDC do not currently examine discharge status.  While the ultimate decision as to include or exclude individuals is driven by program needs, this table enables jurisdictions and policymakers to understand the magnitude of such a decision.</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endParaRPr lang="en-US">
            <a:effectLst/>
          </a:endParaRPr>
        </a:p>
        <a:p>
          <a:endParaRPr lang="en-US" sz="1100"/>
        </a:p>
      </xdr:txBody>
    </xdr:sp>
    <xdr:clientData/>
  </xdr:twoCellAnchor>
  <xdr:twoCellAnchor>
    <xdr:from>
      <xdr:col>9</xdr:col>
      <xdr:colOff>176976</xdr:colOff>
      <xdr:row>8</xdr:row>
      <xdr:rowOff>155437</xdr:rowOff>
    </xdr:from>
    <xdr:to>
      <xdr:col>16</xdr:col>
      <xdr:colOff>480765</xdr:colOff>
      <xdr:row>23</xdr:row>
      <xdr:rowOff>155438</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21</xdr:row>
      <xdr:rowOff>160020</xdr:rowOff>
    </xdr:from>
    <xdr:to>
      <xdr:col>5</xdr:col>
      <xdr:colOff>1028700</xdr:colOff>
      <xdr:row>44</xdr:row>
      <xdr:rowOff>152400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453390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9a</a:t>
          </a:r>
          <a:r>
            <a:rPr lang="en-US" sz="1100">
              <a:solidFill>
                <a:schemeClr val="dk1"/>
              </a:solidFill>
              <a:effectLst/>
              <a:latin typeface="+mn-lt"/>
              <a:ea typeface="+mn-ea"/>
              <a:cs typeface="+mn-cs"/>
            </a:rPr>
            <a:t> - Frequency of type of encounter,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when using an any-mention approach to identify cases (proposed case definition 2). We will compare this table to table 2.</a:t>
          </a:r>
        </a:p>
        <a:p>
          <a:pPr lvl="0"/>
          <a:r>
            <a:rPr lang="en-US" sz="1100" b="1">
              <a:solidFill>
                <a:schemeClr val="dk1"/>
              </a:solidFill>
              <a:effectLst/>
              <a:latin typeface="+mn-lt"/>
              <a:ea typeface="+mn-ea"/>
              <a:cs typeface="+mn-cs"/>
            </a:rPr>
            <a:t>Table 9b</a:t>
          </a:r>
          <a:r>
            <a:rPr lang="en-US" sz="1100">
              <a:solidFill>
                <a:schemeClr val="dk1"/>
              </a:solidFill>
              <a:effectLst/>
              <a:latin typeface="+mn-lt"/>
              <a:ea typeface="+mn-ea"/>
              <a:cs typeface="+mn-cs"/>
            </a:rPr>
            <a:t> - Frequency of intent,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when using an any-mention approach to identify cases (proposed case definition 2). We will compare this table to table 3.  Preliminary analyses by KY, NM, and MT show that adverse effects and underdosing are much more common in drug poisoning codes found in secondary diagnosis fields.  Excluding these cases has a much greater impact on case count for case definitions that use an any-mention approach.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a:p>
          <a:endParaRPr lang="en-US" sz="1100"/>
        </a:p>
      </xdr:txBody>
    </xdr:sp>
    <xdr:clientData/>
  </xdr:twoCellAnchor>
  <xdr:twoCellAnchor>
    <xdr:from>
      <xdr:col>6</xdr:col>
      <xdr:colOff>99060</xdr:colOff>
      <xdr:row>21</xdr:row>
      <xdr:rowOff>160020</xdr:rowOff>
    </xdr:from>
    <xdr:to>
      <xdr:col>13</xdr:col>
      <xdr:colOff>403860</xdr:colOff>
      <xdr:row>42</xdr:row>
      <xdr:rowOff>114300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21</xdr:row>
      <xdr:rowOff>167640</xdr:rowOff>
    </xdr:from>
    <xdr:to>
      <xdr:col>22</xdr:col>
      <xdr:colOff>304800</xdr:colOff>
      <xdr:row>36</xdr:row>
      <xdr:rowOff>167640</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571500</xdr:colOff>
      <xdr:row>1</xdr:row>
      <xdr:rowOff>101600</xdr:rowOff>
    </xdr:from>
    <xdr:to>
      <xdr:col>13</xdr:col>
      <xdr:colOff>654050</xdr:colOff>
      <xdr:row>14</xdr:row>
      <xdr:rowOff>130175</xdr:rowOff>
    </xdr:to>
    <xdr:graphicFrame macro="">
      <xdr:nvGraphicFramePr>
        <xdr:cNvPr id="2" name="Chart 1">
          <a:extLst>
            <a:ext uri="{FF2B5EF4-FFF2-40B4-BE49-F238E27FC236}">
              <a16:creationId xmlns:a16="http://schemas.microsoft.com/office/drawing/2014/main" id="{CB6EA777-11C3-4190-B9D2-6BCFDDFFAD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139700</xdr:colOff>
      <xdr:row>18</xdr:row>
      <xdr:rowOff>160020</xdr:rowOff>
    </xdr:from>
    <xdr:to>
      <xdr:col>18</xdr:col>
      <xdr:colOff>259080</xdr:colOff>
      <xdr:row>36</xdr:row>
      <xdr:rowOff>60960</xdr:rowOff>
    </xdr:to>
    <xdr:graphicFrame macro="">
      <xdr:nvGraphicFramePr>
        <xdr:cNvPr id="3" name="Chart 2">
          <a:extLst>
            <a:ext uri="{FF2B5EF4-FFF2-40B4-BE49-F238E27FC236}">
              <a16:creationId xmlns:a16="http://schemas.microsoft.com/office/drawing/2014/main" id="{B274FDBC-00BC-4BF2-A88D-9EF5027352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762000</xdr:colOff>
      <xdr:row>41</xdr:row>
      <xdr:rowOff>12700</xdr:rowOff>
    </xdr:from>
    <xdr:to>
      <xdr:col>15</xdr:col>
      <xdr:colOff>177800</xdr:colOff>
      <xdr:row>58</xdr:row>
      <xdr:rowOff>127000</xdr:rowOff>
    </xdr:to>
    <xdr:graphicFrame macro="">
      <xdr:nvGraphicFramePr>
        <xdr:cNvPr id="4" name="Chart 3">
          <a:extLst>
            <a:ext uri="{FF2B5EF4-FFF2-40B4-BE49-F238E27FC236}">
              <a16:creationId xmlns:a16="http://schemas.microsoft.com/office/drawing/2014/main" id="{F8D5E768-C4AA-4419-8A09-3436DEEE1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12700</xdr:colOff>
      <xdr:row>64</xdr:row>
      <xdr:rowOff>736600</xdr:rowOff>
    </xdr:from>
    <xdr:to>
      <xdr:col>13</xdr:col>
      <xdr:colOff>419100</xdr:colOff>
      <xdr:row>76</xdr:row>
      <xdr:rowOff>25400</xdr:rowOff>
    </xdr:to>
    <xdr:graphicFrame macro="">
      <xdr:nvGraphicFramePr>
        <xdr:cNvPr id="5" name="Chart 4">
          <a:extLst>
            <a:ext uri="{FF2B5EF4-FFF2-40B4-BE49-F238E27FC236}">
              <a16:creationId xmlns:a16="http://schemas.microsoft.com/office/drawing/2014/main" id="{92A7CAF6-88C7-4C4A-98E3-FA465AD478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101600</xdr:colOff>
      <xdr:row>83</xdr:row>
      <xdr:rowOff>152400</xdr:rowOff>
    </xdr:from>
    <xdr:to>
      <xdr:col>13</xdr:col>
      <xdr:colOff>114300</xdr:colOff>
      <xdr:row>98</xdr:row>
      <xdr:rowOff>177800</xdr:rowOff>
    </xdr:to>
    <xdr:graphicFrame macro="">
      <xdr:nvGraphicFramePr>
        <xdr:cNvPr id="6" name="Chart 5">
          <a:extLst>
            <a:ext uri="{FF2B5EF4-FFF2-40B4-BE49-F238E27FC236}">
              <a16:creationId xmlns:a16="http://schemas.microsoft.com/office/drawing/2014/main" id="{0EF73554-E5DE-4213-8D60-311DC5C49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101600</xdr:colOff>
      <xdr:row>107</xdr:row>
      <xdr:rowOff>139700</xdr:rowOff>
    </xdr:from>
    <xdr:to>
      <xdr:col>13</xdr:col>
      <xdr:colOff>25400</xdr:colOff>
      <xdr:row>122</xdr:row>
      <xdr:rowOff>177800</xdr:rowOff>
    </xdr:to>
    <xdr:graphicFrame macro="">
      <xdr:nvGraphicFramePr>
        <xdr:cNvPr id="7" name="Chart 6">
          <a:extLst>
            <a:ext uri="{FF2B5EF4-FFF2-40B4-BE49-F238E27FC236}">
              <a16:creationId xmlns:a16="http://schemas.microsoft.com/office/drawing/2014/main" id="{15BF0FCB-8724-4FF0-ACF1-F15E9B81D1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586740</xdr:colOff>
      <xdr:row>18</xdr:row>
      <xdr:rowOff>175260</xdr:rowOff>
    </xdr:from>
    <xdr:to>
      <xdr:col>27</xdr:col>
      <xdr:colOff>706120</xdr:colOff>
      <xdr:row>36</xdr:row>
      <xdr:rowOff>76200</xdr:rowOff>
    </xdr:to>
    <xdr:graphicFrame macro="">
      <xdr:nvGraphicFramePr>
        <xdr:cNvPr id="8" name="Chart 7">
          <a:extLst>
            <a:ext uri="{FF2B5EF4-FFF2-40B4-BE49-F238E27FC236}">
              <a16:creationId xmlns:a16="http://schemas.microsoft.com/office/drawing/2014/main" id="{F1645CF6-521A-4C2B-8DF8-5CA2E67C15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107950</xdr:colOff>
      <xdr:row>23</xdr:row>
      <xdr:rowOff>158750</xdr:rowOff>
    </xdr:from>
    <xdr:to>
      <xdr:col>5</xdr:col>
      <xdr:colOff>69850</xdr:colOff>
      <xdr:row>39</xdr:row>
      <xdr:rowOff>6350</xdr:rowOff>
    </xdr:to>
    <xdr:graphicFrame macro="">
      <xdr:nvGraphicFramePr>
        <xdr:cNvPr id="8" name="Chart 7">
          <a:extLst>
            <a:ext uri="{FF2B5EF4-FFF2-40B4-BE49-F238E27FC236}">
              <a16:creationId xmlns:a16="http://schemas.microsoft.com/office/drawing/2014/main" id="{AA4E45C8-4F75-F340-A9F0-C434BAF5F5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400050</xdr:colOff>
      <xdr:row>23</xdr:row>
      <xdr:rowOff>133350</xdr:rowOff>
    </xdr:from>
    <xdr:to>
      <xdr:col>13</xdr:col>
      <xdr:colOff>95250</xdr:colOff>
      <xdr:row>38</xdr:row>
      <xdr:rowOff>171450</xdr:rowOff>
    </xdr:to>
    <xdr:graphicFrame macro="">
      <xdr:nvGraphicFramePr>
        <xdr:cNvPr id="10" name="Chart 9">
          <a:extLst>
            <a:ext uri="{FF2B5EF4-FFF2-40B4-BE49-F238E27FC236}">
              <a16:creationId xmlns:a16="http://schemas.microsoft.com/office/drawing/2014/main" id="{3DCC52F6-FB68-8542-9A0A-CA18886D9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95250</xdr:colOff>
      <xdr:row>39</xdr:row>
      <xdr:rowOff>133350</xdr:rowOff>
    </xdr:from>
    <xdr:to>
      <xdr:col>5</xdr:col>
      <xdr:colOff>57150</xdr:colOff>
      <xdr:row>54</xdr:row>
      <xdr:rowOff>19050</xdr:rowOff>
    </xdr:to>
    <xdr:graphicFrame macro="">
      <xdr:nvGraphicFramePr>
        <xdr:cNvPr id="11" name="Chart 10">
          <a:extLst>
            <a:ext uri="{FF2B5EF4-FFF2-40B4-BE49-F238E27FC236}">
              <a16:creationId xmlns:a16="http://schemas.microsoft.com/office/drawing/2014/main" id="{19807A91-C08C-EB4B-8E76-03DDC3F736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285750</xdr:colOff>
      <xdr:row>39</xdr:row>
      <xdr:rowOff>133350</xdr:rowOff>
    </xdr:from>
    <xdr:to>
      <xdr:col>12</xdr:col>
      <xdr:colOff>590550</xdr:colOff>
      <xdr:row>54</xdr:row>
      <xdr:rowOff>19050</xdr:rowOff>
    </xdr:to>
    <xdr:graphicFrame macro="">
      <xdr:nvGraphicFramePr>
        <xdr:cNvPr id="14" name="Chart 13">
          <a:extLst>
            <a:ext uri="{FF2B5EF4-FFF2-40B4-BE49-F238E27FC236}">
              <a16:creationId xmlns:a16="http://schemas.microsoft.com/office/drawing/2014/main" id="{9C6332FA-2AC2-1C46-9018-BF360EEC87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196850</xdr:colOff>
      <xdr:row>55</xdr:row>
      <xdr:rowOff>69850</xdr:rowOff>
    </xdr:from>
    <xdr:to>
      <xdr:col>5</xdr:col>
      <xdr:colOff>158750</xdr:colOff>
      <xdr:row>72</xdr:row>
      <xdr:rowOff>107950</xdr:rowOff>
    </xdr:to>
    <xdr:graphicFrame macro="">
      <xdr:nvGraphicFramePr>
        <xdr:cNvPr id="15" name="Chart 14">
          <a:extLst>
            <a:ext uri="{FF2B5EF4-FFF2-40B4-BE49-F238E27FC236}">
              <a16:creationId xmlns:a16="http://schemas.microsoft.com/office/drawing/2014/main" id="{64BB86E9-213E-884D-B860-B4BD1BF66A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393700</xdr:colOff>
      <xdr:row>0</xdr:row>
      <xdr:rowOff>863600</xdr:rowOff>
    </xdr:from>
    <xdr:to>
      <xdr:col>14</xdr:col>
      <xdr:colOff>12700</xdr:colOff>
      <xdr:row>12</xdr:row>
      <xdr:rowOff>114300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762000</xdr:colOff>
      <xdr:row>19</xdr:row>
      <xdr:rowOff>266700</xdr:rowOff>
    </xdr:from>
    <xdr:to>
      <xdr:col>14</xdr:col>
      <xdr:colOff>355600</xdr:colOff>
      <xdr:row>32</xdr:row>
      <xdr:rowOff>12700</xdr:rowOff>
    </xdr:to>
    <xdr:graphicFrame macro="">
      <xdr:nvGraphicFramePr>
        <xdr:cNvPr id="3" name="Chart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762000</xdr:colOff>
      <xdr:row>38</xdr:row>
      <xdr:rowOff>774700</xdr:rowOff>
    </xdr:from>
    <xdr:to>
      <xdr:col>15</xdr:col>
      <xdr:colOff>63500</xdr:colOff>
      <xdr:row>49</xdr:row>
      <xdr:rowOff>114300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19050</xdr:colOff>
      <xdr:row>12</xdr:row>
      <xdr:rowOff>114300</xdr:rowOff>
    </xdr:from>
    <xdr:to>
      <xdr:col>13</xdr:col>
      <xdr:colOff>596900</xdr:colOff>
      <xdr:row>28</xdr:row>
      <xdr:rowOff>25400</xdr:rowOff>
    </xdr:to>
    <xdr:graphicFrame macro="">
      <xdr:nvGraphicFramePr>
        <xdr:cNvPr id="3" name="Chart 2">
          <a:extLst>
            <a:ext uri="{FF2B5EF4-FFF2-40B4-BE49-F238E27FC236}">
              <a16:creationId xmlns:a16="http://schemas.microsoft.com/office/drawing/2014/main" id="{A58B9320-8CA1-CE44-B742-65B62A411F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762000</xdr:colOff>
      <xdr:row>44</xdr:row>
      <xdr:rowOff>120650</xdr:rowOff>
    </xdr:from>
    <xdr:to>
      <xdr:col>22</xdr:col>
      <xdr:colOff>15875</xdr:colOff>
      <xdr:row>62</xdr:row>
      <xdr:rowOff>31750</xdr:rowOff>
    </xdr:to>
    <xdr:graphicFrame macro="">
      <xdr:nvGraphicFramePr>
        <xdr:cNvPr id="3" name="Chart 2">
          <a:extLst>
            <a:ext uri="{FF2B5EF4-FFF2-40B4-BE49-F238E27FC236}">
              <a16:creationId xmlns:a16="http://schemas.microsoft.com/office/drawing/2014/main" id="{A57FC586-82FD-A74D-A4FD-3D23A00C7A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19</xdr:col>
      <xdr:colOff>254000</xdr:colOff>
      <xdr:row>3</xdr:row>
      <xdr:rowOff>39511</xdr:rowOff>
    </xdr:from>
    <xdr:to>
      <xdr:col>24</xdr:col>
      <xdr:colOff>733778</xdr:colOff>
      <xdr:row>18</xdr:row>
      <xdr:rowOff>16933</xdr:rowOff>
    </xdr:to>
    <xdr:graphicFrame macro="">
      <xdr:nvGraphicFramePr>
        <xdr:cNvPr id="6" name="Chart 5">
          <a:extLst>
            <a:ext uri="{FF2B5EF4-FFF2-40B4-BE49-F238E27FC236}">
              <a16:creationId xmlns:a16="http://schemas.microsoft.com/office/drawing/2014/main" id="{59037C99-C46F-EA41-816F-56279E3DDF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239889</xdr:colOff>
      <xdr:row>18</xdr:row>
      <xdr:rowOff>39510</xdr:rowOff>
    </xdr:from>
    <xdr:to>
      <xdr:col>24</xdr:col>
      <xdr:colOff>719667</xdr:colOff>
      <xdr:row>34</xdr:row>
      <xdr:rowOff>2821</xdr:rowOff>
    </xdr:to>
    <xdr:graphicFrame macro="">
      <xdr:nvGraphicFramePr>
        <xdr:cNvPr id="12" name="Chart 11">
          <a:extLst>
            <a:ext uri="{FF2B5EF4-FFF2-40B4-BE49-F238E27FC236}">
              <a16:creationId xmlns:a16="http://schemas.microsoft.com/office/drawing/2014/main" id="{9BFE234E-141A-B44C-A602-2367347881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747889</xdr:colOff>
      <xdr:row>18</xdr:row>
      <xdr:rowOff>25400</xdr:rowOff>
    </xdr:from>
    <xdr:to>
      <xdr:col>30</xdr:col>
      <xdr:colOff>70556</xdr:colOff>
      <xdr:row>33</xdr:row>
      <xdr:rowOff>158045</xdr:rowOff>
    </xdr:to>
    <xdr:graphicFrame macro="">
      <xdr:nvGraphicFramePr>
        <xdr:cNvPr id="13" name="Chart 12">
          <a:extLst>
            <a:ext uri="{FF2B5EF4-FFF2-40B4-BE49-F238E27FC236}">
              <a16:creationId xmlns:a16="http://schemas.microsoft.com/office/drawing/2014/main" id="{113E31FA-B854-3F4C-9516-BFC49CBA28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22</xdr:col>
      <xdr:colOff>222251</xdr:colOff>
      <xdr:row>4</xdr:row>
      <xdr:rowOff>35984</xdr:rowOff>
    </xdr:from>
    <xdr:to>
      <xdr:col>28</xdr:col>
      <xdr:colOff>603251</xdr:colOff>
      <xdr:row>18</xdr:row>
      <xdr:rowOff>112184</xdr:rowOff>
    </xdr:to>
    <xdr:graphicFrame macro="">
      <xdr:nvGraphicFramePr>
        <xdr:cNvPr id="9" name="Chart 8">
          <a:extLst>
            <a:ext uri="{FF2B5EF4-FFF2-40B4-BE49-F238E27FC236}">
              <a16:creationId xmlns:a16="http://schemas.microsoft.com/office/drawing/2014/main" id="{7B36DA77-0F6E-BD4D-BA2C-FA4C74FFD3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243416</xdr:colOff>
      <xdr:row>19</xdr:row>
      <xdr:rowOff>14818</xdr:rowOff>
    </xdr:from>
    <xdr:to>
      <xdr:col>28</xdr:col>
      <xdr:colOff>624416</xdr:colOff>
      <xdr:row>33</xdr:row>
      <xdr:rowOff>91018</xdr:rowOff>
    </xdr:to>
    <xdr:graphicFrame macro="">
      <xdr:nvGraphicFramePr>
        <xdr:cNvPr id="10" name="Chart 9">
          <a:extLst>
            <a:ext uri="{FF2B5EF4-FFF2-40B4-BE49-F238E27FC236}">
              <a16:creationId xmlns:a16="http://schemas.microsoft.com/office/drawing/2014/main" id="{ADA67AFC-4C19-E341-8E37-AC8BD16969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52916</xdr:colOff>
      <xdr:row>18</xdr:row>
      <xdr:rowOff>184150</xdr:rowOff>
    </xdr:from>
    <xdr:to>
      <xdr:col>35</xdr:col>
      <xdr:colOff>433916</xdr:colOff>
      <xdr:row>33</xdr:row>
      <xdr:rowOff>69850</xdr:rowOff>
    </xdr:to>
    <xdr:graphicFrame macro="">
      <xdr:nvGraphicFramePr>
        <xdr:cNvPr id="11" name="Chart 10">
          <a:extLst>
            <a:ext uri="{FF2B5EF4-FFF2-40B4-BE49-F238E27FC236}">
              <a16:creationId xmlns:a16="http://schemas.microsoft.com/office/drawing/2014/main" id="{6F50F937-294A-5341-963F-C88ADC4CEB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7</xdr:col>
      <xdr:colOff>762000</xdr:colOff>
      <xdr:row>0</xdr:row>
      <xdr:rowOff>2298700</xdr:rowOff>
    </xdr:from>
    <xdr:to>
      <xdr:col>15</xdr:col>
      <xdr:colOff>127000</xdr:colOff>
      <xdr:row>18</xdr:row>
      <xdr:rowOff>45720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31</xdr:row>
      <xdr:rowOff>42862</xdr:rowOff>
    </xdr:from>
    <xdr:to>
      <xdr:col>8</xdr:col>
      <xdr:colOff>295275</xdr:colOff>
      <xdr:row>48</xdr:row>
      <xdr:rowOff>133350</xdr:rowOff>
    </xdr:to>
    <xdr:graphicFrame macro="">
      <xdr:nvGraphicFramePr>
        <xdr:cNvPr id="2" name="Chart 1">
          <a:extLst>
            <a:ext uri="{FF2B5EF4-FFF2-40B4-BE49-F238E27FC236}">
              <a16:creationId xmlns:a16="http://schemas.microsoft.com/office/drawing/2014/main" id="{DA64B92A-28AD-487C-AFC9-4A11458772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114300</xdr:colOff>
      <xdr:row>18</xdr:row>
      <xdr:rowOff>163830</xdr:rowOff>
    </xdr:from>
    <xdr:to>
      <xdr:col>16</xdr:col>
      <xdr:colOff>419100</xdr:colOff>
      <xdr:row>33</xdr:row>
      <xdr:rowOff>163830</xdr:rowOff>
    </xdr:to>
    <xdr:graphicFrame macro="">
      <xdr:nvGraphicFramePr>
        <xdr:cNvPr id="2" name="Chart 1">
          <a:extLst>
            <a:ext uri="{FF2B5EF4-FFF2-40B4-BE49-F238E27FC236}">
              <a16:creationId xmlns:a16="http://schemas.microsoft.com/office/drawing/2014/main" id="{EA1806DC-AD13-4D30-8895-A7C545185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605790</xdr:colOff>
      <xdr:row>29</xdr:row>
      <xdr:rowOff>3810</xdr:rowOff>
    </xdr:from>
    <xdr:to>
      <xdr:col>24</xdr:col>
      <xdr:colOff>300990</xdr:colOff>
      <xdr:row>44</xdr:row>
      <xdr:rowOff>3810</xdr:rowOff>
    </xdr:to>
    <xdr:graphicFrame macro="">
      <xdr:nvGraphicFramePr>
        <xdr:cNvPr id="3" name="Chart 2">
          <a:extLst>
            <a:ext uri="{FF2B5EF4-FFF2-40B4-BE49-F238E27FC236}">
              <a16:creationId xmlns:a16="http://schemas.microsoft.com/office/drawing/2014/main" id="{E1F67A56-09B1-4A31-83E6-802CF9EAD6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95250</xdr:colOff>
      <xdr:row>37</xdr:row>
      <xdr:rowOff>179070</xdr:rowOff>
    </xdr:from>
    <xdr:to>
      <xdr:col>16</xdr:col>
      <xdr:colOff>400050</xdr:colOff>
      <xdr:row>52</xdr:row>
      <xdr:rowOff>179070</xdr:rowOff>
    </xdr:to>
    <xdr:graphicFrame macro="">
      <xdr:nvGraphicFramePr>
        <xdr:cNvPr id="4" name="Chart 3">
          <a:extLst>
            <a:ext uri="{FF2B5EF4-FFF2-40B4-BE49-F238E27FC236}">
              <a16:creationId xmlns:a16="http://schemas.microsoft.com/office/drawing/2014/main" id="{2CC31E50-4E4C-4023-86A8-F768A44404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247650</xdr:colOff>
      <xdr:row>49</xdr:row>
      <xdr:rowOff>102870</xdr:rowOff>
    </xdr:from>
    <xdr:to>
      <xdr:col>24</xdr:col>
      <xdr:colOff>552450</xdr:colOff>
      <xdr:row>64</xdr:row>
      <xdr:rowOff>102870</xdr:rowOff>
    </xdr:to>
    <xdr:graphicFrame macro="">
      <xdr:nvGraphicFramePr>
        <xdr:cNvPr id="5" name="Chart 4">
          <a:extLst>
            <a:ext uri="{FF2B5EF4-FFF2-40B4-BE49-F238E27FC236}">
              <a16:creationId xmlns:a16="http://schemas.microsoft.com/office/drawing/2014/main" id="{0B2F6A4D-2E91-45E1-AAA9-F22460138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7620</xdr:colOff>
      <xdr:row>0</xdr:row>
      <xdr:rowOff>26670</xdr:rowOff>
    </xdr:from>
    <xdr:to>
      <xdr:col>16</xdr:col>
      <xdr:colOff>312420</xdr:colOff>
      <xdr:row>15</xdr:row>
      <xdr:rowOff>26670</xdr:rowOff>
    </xdr:to>
    <xdr:graphicFrame macro="">
      <xdr:nvGraphicFramePr>
        <xdr:cNvPr id="6" name="Chart 5">
          <a:extLst>
            <a:ext uri="{FF2B5EF4-FFF2-40B4-BE49-F238E27FC236}">
              <a16:creationId xmlns:a16="http://schemas.microsoft.com/office/drawing/2014/main" id="{5D6D77EF-5271-45AE-8608-BFFCA4BA9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140970</xdr:colOff>
      <xdr:row>65</xdr:row>
      <xdr:rowOff>49530</xdr:rowOff>
    </xdr:from>
    <xdr:to>
      <xdr:col>19</xdr:col>
      <xdr:colOff>445770</xdr:colOff>
      <xdr:row>80</xdr:row>
      <xdr:rowOff>41910</xdr:rowOff>
    </xdr:to>
    <xdr:graphicFrame macro="">
      <xdr:nvGraphicFramePr>
        <xdr:cNvPr id="7" name="Chart 6">
          <a:extLst>
            <a:ext uri="{FF2B5EF4-FFF2-40B4-BE49-F238E27FC236}">
              <a16:creationId xmlns:a16="http://schemas.microsoft.com/office/drawing/2014/main" id="{06764253-28ED-43C6-A272-C0F09552B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3810</xdr:colOff>
      <xdr:row>75</xdr:row>
      <xdr:rowOff>11430</xdr:rowOff>
    </xdr:from>
    <xdr:to>
      <xdr:col>27</xdr:col>
      <xdr:colOff>308610</xdr:colOff>
      <xdr:row>90</xdr:row>
      <xdr:rowOff>3810</xdr:rowOff>
    </xdr:to>
    <xdr:graphicFrame macro="">
      <xdr:nvGraphicFramePr>
        <xdr:cNvPr id="8" name="Chart 7">
          <a:extLst>
            <a:ext uri="{FF2B5EF4-FFF2-40B4-BE49-F238E27FC236}">
              <a16:creationId xmlns:a16="http://schemas.microsoft.com/office/drawing/2014/main" id="{8F3318B8-D2AD-4B16-AA5D-D8C0BDB0E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95250</xdr:colOff>
      <xdr:row>89</xdr:row>
      <xdr:rowOff>3810</xdr:rowOff>
    </xdr:from>
    <xdr:to>
      <xdr:col>19</xdr:col>
      <xdr:colOff>400050</xdr:colOff>
      <xdr:row>104</xdr:row>
      <xdr:rowOff>3810</xdr:rowOff>
    </xdr:to>
    <xdr:graphicFrame macro="">
      <xdr:nvGraphicFramePr>
        <xdr:cNvPr id="9" name="Chart 8">
          <a:extLst>
            <a:ext uri="{FF2B5EF4-FFF2-40B4-BE49-F238E27FC236}">
              <a16:creationId xmlns:a16="http://schemas.microsoft.com/office/drawing/2014/main" id="{7F2E20E9-72FD-4524-A283-1318B03C4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12</xdr:row>
      <xdr:rowOff>7620</xdr:rowOff>
    </xdr:from>
    <xdr:to>
      <xdr:col>5</xdr:col>
      <xdr:colOff>739140</xdr:colOff>
      <xdr:row>34</xdr:row>
      <xdr:rowOff>175260</xdr:rowOff>
    </xdr:to>
    <xdr:sp macro="" textlink="">
      <xdr:nvSpPr>
        <xdr:cNvPr id="2" name="TextBox 1">
          <a:extLst>
            <a:ext uri="{FF2B5EF4-FFF2-40B4-BE49-F238E27FC236}">
              <a16:creationId xmlns:a16="http://schemas.microsoft.com/office/drawing/2014/main" id="{752FB8E5-9BD9-4AC4-8393-8B4A0BBF8D7C}"/>
            </a:ext>
          </a:extLst>
        </xdr:cNvPr>
        <xdr:cNvSpPr txBox="1"/>
      </xdr:nvSpPr>
      <xdr:spPr>
        <a:xfrm>
          <a:off x="0" y="3960495"/>
          <a:ext cx="5844540" cy="4358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3</a:t>
          </a:r>
          <a:r>
            <a:rPr lang="en-US" sz="1100">
              <a:solidFill>
                <a:schemeClr val="dk1"/>
              </a:solidFill>
              <a:effectLst/>
              <a:latin typeface="+mn-lt"/>
              <a:ea typeface="+mn-ea"/>
              <a:cs typeface="+mn-cs"/>
            </a:rPr>
            <a:t> - Frequency of Intent (Manner), (Allowing adverse effect, underdosing, and missing)</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case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definition 1</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(S) and cases with invalid or missing values for the encounter type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a:t>
          </a:r>
        </a:p>
      </xdr:txBody>
    </xdr:sp>
    <xdr:clientData/>
  </xdr:twoCellAnchor>
  <xdr:twoCellAnchor>
    <xdr:from>
      <xdr:col>6</xdr:col>
      <xdr:colOff>45720</xdr:colOff>
      <xdr:row>11</xdr:row>
      <xdr:rowOff>520700</xdr:rowOff>
    </xdr:from>
    <xdr:to>
      <xdr:col>13</xdr:col>
      <xdr:colOff>350520</xdr:colOff>
      <xdr:row>26</xdr:row>
      <xdr:rowOff>154940</xdr:rowOff>
    </xdr:to>
    <xdr:graphicFrame macro="">
      <xdr:nvGraphicFramePr>
        <xdr:cNvPr id="3" name="Chart 2">
          <a:extLst>
            <a:ext uri="{FF2B5EF4-FFF2-40B4-BE49-F238E27FC236}">
              <a16:creationId xmlns:a16="http://schemas.microsoft.com/office/drawing/2014/main" id="{094D6088-42FC-4F71-BB89-0E307D863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565150</xdr:colOff>
      <xdr:row>2</xdr:row>
      <xdr:rowOff>122237</xdr:rowOff>
    </xdr:from>
    <xdr:to>
      <xdr:col>18</xdr:col>
      <xdr:colOff>247650</xdr:colOff>
      <xdr:row>18</xdr:row>
      <xdr:rowOff>7937</xdr:rowOff>
    </xdr:to>
    <xdr:graphicFrame macro="">
      <xdr:nvGraphicFramePr>
        <xdr:cNvPr id="2" name="Chart 1">
          <a:extLst>
            <a:ext uri="{FF2B5EF4-FFF2-40B4-BE49-F238E27FC236}">
              <a16:creationId xmlns:a16="http://schemas.microsoft.com/office/drawing/2014/main" id="{A28C3E2A-5B47-4822-A9D2-B3E0A2E9AB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ocuments/Job%20Applications/Side%20Hustles/CSTE/CSTE%20ICD-10-CM%20Drug%20Poisoning%20Indicators%20Workgroup/Multiple_States_CaseDefinitionTables_ED_2019%2001%2029_K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ristenallen/Downloads/Multiple_States_CaseDefinitionTables_ED_2019%2002%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4.0_Information"/>
      <sheetName val="4_1.1b_Codes_List"/>
      <sheetName val="4_1.3_Manner"/>
      <sheetName val="4_1.4_Other_Codes"/>
      <sheetName val="4_1.6_First_Mention"/>
      <sheetName val="4_1.7_Primary"/>
      <sheetName val="4_1.11_Discharge_Expired"/>
      <sheetName val="4_1.9_Any_Mention"/>
      <sheetName val="4_2.3_Drug_by_Quarter"/>
      <sheetName val="4_2.3_Total"/>
      <sheetName val="4_2.3_Total_Graphs"/>
      <sheetName val="4_2.3_Graphs-Drug_by_Quarte (2)"/>
      <sheetName val="4_2.4a-c_Potential Changes"/>
      <sheetName val="4_2.4a-c_Total"/>
      <sheetName val="4_2.4a-c_Graphs-Potential Chang"/>
      <sheetName val="4_2.4a-c_Total_Graphs"/>
      <sheetName val="4_2.4a_encounter"/>
      <sheetName val="4_2.4b_multiopioid"/>
      <sheetName val="4_2.4c manner"/>
      <sheetName val="4_2.5_v2"/>
      <sheetName val="4_2.5_"/>
      <sheetName val="4_2.5 Viz"/>
      <sheetName val="4_3.2_Polydrug"/>
      <sheetName val="4_3.2_GraphPolydrug"/>
      <sheetName val="4_3.2_GraphPolydrug_2"/>
      <sheetName val="4_3.2_GraphPolydrug_1.30states"/>
      <sheetName val="4_3.2_Polydrug_1.30multistate"/>
      <sheetName val="Emilia's graphics ideas"/>
      <sheetName val="4_3.1 "/>
      <sheetName val="4_1.1a"/>
    </sheetNames>
    <sheetDataSet>
      <sheetData sheetId="0">
        <row r="4">
          <cell r="A4" t="str">
            <v>Colorado</v>
          </cell>
        </row>
        <row r="5">
          <cell r="A5" t="str">
            <v>Kentucky</v>
          </cell>
        </row>
        <row r="6">
          <cell r="A6" t="str">
            <v>New Mexico</v>
          </cell>
        </row>
        <row r="10">
          <cell r="A10" t="str">
            <v>7 add state in table 0</v>
          </cell>
        </row>
        <row r="11">
          <cell r="A11" t="str">
            <v>8 add state in table 0</v>
          </cell>
        </row>
        <row r="12">
          <cell r="A12" t="str">
            <v>9 add state in table 0</v>
          </cell>
        </row>
        <row r="13">
          <cell r="A13" t="str">
            <v>10 add state in table 0</v>
          </cell>
        </row>
        <row r="14">
          <cell r="A14" t="str">
            <v>11 add state in table 0</v>
          </cell>
        </row>
        <row r="15">
          <cell r="A15" t="str">
            <v>12 add state in table 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4">
          <cell r="R4">
            <v>3.9592760180995473E-3</v>
          </cell>
        </row>
        <row r="5">
          <cell r="Q5">
            <v>2.5454545454545455E-2</v>
          </cell>
          <cell r="X5">
            <v>0.08</v>
          </cell>
        </row>
        <row r="6">
          <cell r="Y6">
            <v>0.1124859392575928</v>
          </cell>
        </row>
        <row r="9">
          <cell r="S9">
            <v>7.874015748031496E-3</v>
          </cell>
          <cell r="T9">
            <v>2.1164021164021163E-2</v>
          </cell>
          <cell r="Y9">
            <v>4.4994375703037125E-3</v>
          </cell>
        </row>
        <row r="11">
          <cell r="R11">
            <v>3.3936651583710408E-3</v>
          </cell>
          <cell r="S11">
            <v>1.968503937007874E-3</v>
          </cell>
          <cell r="T11">
            <v>5.2910052910052907E-3</v>
          </cell>
        </row>
        <row r="12">
          <cell r="S12">
            <v>9.8425196850393706E-2</v>
          </cell>
          <cell r="T12">
            <v>6.6137566137566134E-3</v>
          </cell>
          <cell r="V12">
            <v>1.834862385321101E-2</v>
          </cell>
          <cell r="Z12">
            <v>6.2695924764890276E-2</v>
          </cell>
        </row>
        <row r="13">
          <cell r="Y13">
            <v>2.2497187851518559E-2</v>
          </cell>
        </row>
        <row r="19">
          <cell r="R19">
            <v>2.0233277791002141E-3</v>
          </cell>
        </row>
        <row r="20">
          <cell r="Q20">
            <v>5.3375196232339092E-2</v>
          </cell>
          <cell r="X20">
            <v>0.13615023474178403</v>
          </cell>
        </row>
        <row r="21">
          <cell r="Y21">
            <v>0.15050907481186365</v>
          </cell>
        </row>
        <row r="24">
          <cell r="S24">
            <v>1.9350380096751902E-2</v>
          </cell>
          <cell r="T24">
            <v>1.3003589948145194E-2</v>
          </cell>
          <cell r="Y24">
            <v>2.6560424966799469E-2</v>
          </cell>
        </row>
        <row r="26">
          <cell r="R26">
            <v>3.4515591525827185E-3</v>
          </cell>
          <cell r="S26">
            <v>3.6857866850956E-3</v>
          </cell>
          <cell r="T26">
            <v>3.3506182688472276E-3</v>
          </cell>
        </row>
        <row r="27">
          <cell r="S27">
            <v>7.8322967058281498E-2</v>
          </cell>
          <cell r="T27">
            <v>8.0574391703230955E-3</v>
          </cell>
          <cell r="V27">
            <v>4.1753653444676408E-2</v>
          </cell>
          <cell r="Z27">
            <v>5.434782608695652E-2</v>
          </cell>
        </row>
        <row r="28">
          <cell r="Y28">
            <v>1.3280212483399735E-2</v>
          </cell>
        </row>
        <row r="34">
          <cell r="R34">
            <v>5.6219255094869993E-3</v>
          </cell>
        </row>
        <row r="35">
          <cell r="Q35">
            <v>0.13559322033898305</v>
          </cell>
          <cell r="X35">
            <v>0.20833333333333334</v>
          </cell>
        </row>
        <row r="36">
          <cell r="Y36">
            <v>0.14653465346534653</v>
          </cell>
        </row>
        <row r="39">
          <cell r="S39">
            <v>1.2870012870012869E-2</v>
          </cell>
          <cell r="T39">
            <v>2.5875190258751901E-2</v>
          </cell>
          <cell r="Y39">
            <v>1.1881188118811881E-2</v>
          </cell>
        </row>
        <row r="41">
          <cell r="R41">
            <v>7.0274068868587487E-3</v>
          </cell>
          <cell r="S41">
            <v>3.8610038610038611E-3</v>
          </cell>
          <cell r="T41">
            <v>1.06544901065449E-2</v>
          </cell>
        </row>
        <row r="42">
          <cell r="S42">
            <v>9.5238095238095233E-2</v>
          </cell>
          <cell r="T42">
            <v>9.1324200913242004E-3</v>
          </cell>
          <cell r="V42">
            <v>2.8846153846153848E-2</v>
          </cell>
          <cell r="Z42">
            <v>5.3921568627450983E-2</v>
          </cell>
        </row>
        <row r="43">
          <cell r="Y43">
            <v>2.1782178217821781E-2</v>
          </cell>
        </row>
        <row r="49">
          <cell r="R49">
            <v>2.0628008251203302E-3</v>
          </cell>
        </row>
        <row r="50">
          <cell r="Q50">
            <v>0.06</v>
          </cell>
          <cell r="X50">
            <v>0.23333333333333334</v>
          </cell>
        </row>
        <row r="51">
          <cell r="Y51">
            <v>0.17102137767220901</v>
          </cell>
        </row>
        <row r="54">
          <cell r="S54">
            <v>1.5973254086181277E-2</v>
          </cell>
          <cell r="T54">
            <v>1.1202830188679245E-2</v>
          </cell>
          <cell r="Y54">
            <v>1.9477434679334917E-2</v>
          </cell>
        </row>
        <row r="56">
          <cell r="R56">
            <v>9.62640385056154E-3</v>
          </cell>
          <cell r="S56">
            <v>5.9435364041604752E-3</v>
          </cell>
          <cell r="T56">
            <v>1.5330188679245283E-2</v>
          </cell>
        </row>
        <row r="57">
          <cell r="S57">
            <v>0.1337295690936107</v>
          </cell>
          <cell r="T57">
            <v>1.945754716981132E-2</v>
          </cell>
          <cell r="V57">
            <v>7.0205479452054798E-2</v>
          </cell>
          <cell r="Z57">
            <v>9.7308488612836433E-2</v>
          </cell>
        </row>
        <row r="58">
          <cell r="Y58">
            <v>2.2327790973871733E-2</v>
          </cell>
        </row>
      </sheetData>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4.0_Information"/>
      <sheetName val="4_1.1b_Codes_List"/>
      <sheetName val="4_1.4_Other_Codes"/>
      <sheetName val="4_1.6_First_Mention"/>
      <sheetName val="4_1.7_Primary"/>
      <sheetName val="4_1.11_Discharge_Expired"/>
      <sheetName val="4_1.9_Any_Mention"/>
      <sheetName val="4_2.3_Drug_by_Quarter"/>
      <sheetName val="4_2.3_Total"/>
      <sheetName val="4_2.3_Total_Graphs"/>
      <sheetName val="4_2.3_Graphs-Drug_by_Quarte (2)"/>
      <sheetName val="4_2.4a-c_Potential Changes"/>
      <sheetName val="4_2.4a-c_Total"/>
      <sheetName val="4_2.4a-c_Graphs-Potential Chang"/>
      <sheetName val="4_2.4a-c_Total_Graphs"/>
      <sheetName val="4_2.4a_encounter"/>
      <sheetName val="4_2.4b_multiopioid"/>
      <sheetName val="4_2.4c manner"/>
      <sheetName val="4_2.5_v2"/>
      <sheetName val="4_2.5_"/>
      <sheetName val="4_2.5 Viz"/>
      <sheetName val="OLD-4_3.2_Polydrug"/>
      <sheetName val="OLD-4_3.2_GraphPolydrug"/>
      <sheetName val="OLD-4_3.2_GraphPolydrug_2"/>
      <sheetName val="4_3.1 "/>
      <sheetName val="4_3.2_GraphPolydrug_1.30states"/>
      <sheetName val="Emilia's graphics ideas"/>
      <sheetName val="4_1.3_Manner"/>
      <sheetName val="4_1.1a"/>
    </sheetNames>
    <sheetDataSet>
      <sheetData sheetId="0">
        <row r="4">
          <cell r="A4" t="str">
            <v>Colorado</v>
          </cell>
        </row>
        <row r="5">
          <cell r="A5" t="str">
            <v>Kentucky</v>
          </cell>
        </row>
        <row r="6">
          <cell r="A6" t="str">
            <v>New Mexico</v>
          </cell>
        </row>
        <row r="8">
          <cell r="A8" t="str">
            <v>5 add state in table 0</v>
          </cell>
        </row>
        <row r="9">
          <cell r="A9" t="str">
            <v>6 add state in table 0</v>
          </cell>
        </row>
        <row r="10">
          <cell r="A10" t="str">
            <v>7 add state in table 0</v>
          </cell>
        </row>
        <row r="11">
          <cell r="A11" t="str">
            <v>8 add state in table 0</v>
          </cell>
        </row>
        <row r="12">
          <cell r="A12" t="str">
            <v>9 add state in table 0</v>
          </cell>
        </row>
        <row r="13">
          <cell r="A13" t="str">
            <v>10 add state in table 0</v>
          </cell>
        </row>
        <row r="14">
          <cell r="A14" t="str">
            <v>11 add state in table 0</v>
          </cell>
        </row>
        <row r="15">
          <cell r="A15" t="str">
            <v>12 add state in table 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election activeCell="A6" sqref="A6"/>
    </sheetView>
  </sheetViews>
  <sheetFormatPr baseColWidth="10" defaultColWidth="8.6640625" defaultRowHeight="15"/>
  <cols>
    <col min="1" max="1" width="37.6640625" bestFit="1" customWidth="1"/>
    <col min="2" max="2" width="17.6640625" style="21" bestFit="1" customWidth="1"/>
    <col min="3" max="3" width="17.1640625" customWidth="1"/>
    <col min="4" max="4" width="22.6640625" bestFit="1" customWidth="1"/>
    <col min="5" max="5" width="80.6640625" customWidth="1"/>
  </cols>
  <sheetData>
    <row r="1" spans="1:5">
      <c r="A1" t="s">
        <v>61</v>
      </c>
    </row>
    <row r="3" spans="1:5" ht="47.25" customHeight="1" thickBot="1">
      <c r="A3" s="29" t="s">
        <v>55</v>
      </c>
      <c r="B3" s="27" t="s">
        <v>56</v>
      </c>
      <c r="C3" s="28" t="s">
        <v>57</v>
      </c>
      <c r="D3" s="29" t="s">
        <v>63</v>
      </c>
      <c r="E3" s="29" t="s">
        <v>64</v>
      </c>
    </row>
    <row r="4" spans="1:5" ht="16" thickTop="1">
      <c r="A4" s="26" t="s">
        <v>58</v>
      </c>
      <c r="B4" s="40"/>
      <c r="C4" s="26"/>
      <c r="D4" s="26"/>
      <c r="E4" s="26"/>
    </row>
    <row r="5" spans="1:5">
      <c r="A5" s="26" t="s">
        <v>59</v>
      </c>
      <c r="B5" s="40"/>
      <c r="C5" s="26"/>
      <c r="D5" s="26"/>
      <c r="E5" s="32"/>
    </row>
    <row r="6" spans="1:5">
      <c r="A6" s="26" t="s">
        <v>60</v>
      </c>
      <c r="B6" s="40"/>
      <c r="C6" s="26"/>
      <c r="D6" s="26"/>
      <c r="E6" s="26"/>
    </row>
    <row r="7" spans="1:5">
      <c r="A7" s="26" t="s">
        <v>152</v>
      </c>
      <c r="B7" s="40"/>
      <c r="C7" s="26"/>
      <c r="D7" s="26"/>
      <c r="E7" s="32"/>
    </row>
    <row r="8" spans="1:5">
      <c r="A8" s="26" t="s">
        <v>153</v>
      </c>
      <c r="B8" s="40"/>
      <c r="C8" s="26"/>
      <c r="D8" s="26"/>
      <c r="E8" s="26"/>
    </row>
    <row r="9" spans="1:5">
      <c r="A9" s="26" t="s">
        <v>154</v>
      </c>
      <c r="B9" s="40"/>
      <c r="C9" s="26"/>
      <c r="D9" s="26"/>
      <c r="E9" s="26"/>
    </row>
    <row r="10" spans="1:5">
      <c r="A10" s="26" t="s">
        <v>155</v>
      </c>
      <c r="B10" s="40"/>
      <c r="C10" s="26"/>
      <c r="D10" s="26"/>
      <c r="E10" s="26"/>
    </row>
    <row r="11" spans="1:5">
      <c r="A11" s="26" t="s">
        <v>156</v>
      </c>
      <c r="B11" s="40"/>
      <c r="C11" s="26"/>
      <c r="D11" s="26"/>
      <c r="E11" s="26"/>
    </row>
    <row r="12" spans="1:5">
      <c r="A12" s="26" t="s">
        <v>157</v>
      </c>
      <c r="B12" s="40"/>
      <c r="C12" s="26"/>
      <c r="D12" s="26"/>
      <c r="E12" s="26"/>
    </row>
    <row r="13" spans="1:5">
      <c r="A13" s="26" t="s">
        <v>158</v>
      </c>
      <c r="B13" s="40"/>
      <c r="C13" s="26"/>
      <c r="D13" s="26"/>
      <c r="E13" s="26"/>
    </row>
    <row r="14" spans="1:5">
      <c r="A14" s="26" t="s">
        <v>159</v>
      </c>
      <c r="B14" s="40"/>
      <c r="C14" s="26"/>
      <c r="D14" s="26"/>
      <c r="E14" s="26"/>
    </row>
    <row r="15" spans="1:5">
      <c r="A15" s="26" t="s">
        <v>160</v>
      </c>
      <c r="B15" s="40"/>
      <c r="C15" s="26"/>
      <c r="D15" s="26"/>
      <c r="E15" s="2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61"/>
  <sheetViews>
    <sheetView topLeftCell="G3" zoomScale="80" zoomScaleNormal="80" workbookViewId="0">
      <selection activeCell="K20" sqref="K20"/>
    </sheetView>
  </sheetViews>
  <sheetFormatPr baseColWidth="10" defaultColWidth="8.6640625" defaultRowHeight="15"/>
  <cols>
    <col min="1" max="1" width="67.1640625" customWidth="1"/>
    <col min="2" max="2" width="12.6640625" customWidth="1"/>
    <col min="3" max="3" width="13.33203125" customWidth="1"/>
    <col min="4" max="4" width="13.33203125" style="20" customWidth="1"/>
    <col min="5" max="5" width="12.6640625" customWidth="1"/>
    <col min="6" max="6" width="11.6640625" customWidth="1"/>
    <col min="15" max="15" width="8.6640625" style="20"/>
    <col min="19" max="19" width="8.6640625" style="20"/>
  </cols>
  <sheetData>
    <row r="1" spans="1:29">
      <c r="A1" s="47" t="s">
        <v>75</v>
      </c>
    </row>
    <row r="2" spans="1:29" ht="16" thickBot="1">
      <c r="A2" s="20" t="s">
        <v>81</v>
      </c>
    </row>
    <row r="3" spans="1:29">
      <c r="A3" s="17"/>
      <c r="B3" s="8"/>
      <c r="C3" s="8"/>
      <c r="D3" s="8"/>
      <c r="E3" s="3"/>
      <c r="F3" s="3"/>
    </row>
    <row r="4" spans="1:29" ht="57.5" customHeight="1" thickBot="1">
      <c r="A4" s="18" t="s">
        <v>86</v>
      </c>
      <c r="B4" s="22" t="str">
        <f>Table_4.0_Information!$A$4</f>
        <v>Colorado</v>
      </c>
      <c r="C4" s="22" t="str">
        <f>Table_4.0_Information!$A$5</f>
        <v>Kentucky</v>
      </c>
      <c r="D4" s="22" t="s">
        <v>442</v>
      </c>
      <c r="E4" s="22" t="str">
        <f>Table_4.0_Information!$A$6</f>
        <v>New Mexico</v>
      </c>
      <c r="F4" s="22" t="s">
        <v>338</v>
      </c>
      <c r="G4" s="22" t="str">
        <f>Table_4.0_Information!$A$8</f>
        <v>5 add state in table 0</v>
      </c>
      <c r="H4" s="22" t="str">
        <f>Table_4.0_Information!$A$9</f>
        <v>6 add state in table 0</v>
      </c>
      <c r="I4" s="22" t="str">
        <f>Table_4.0_Information!$A$10</f>
        <v>7 add state in table 0</v>
      </c>
      <c r="J4" s="22" t="str">
        <f>Table_4.0_Information!$A$11</f>
        <v>8 add state in table 0</v>
      </c>
      <c r="K4" s="22" t="str">
        <f>Table_4.0_Information!$A$12</f>
        <v>9 add state in table 0</v>
      </c>
      <c r="L4" s="22" t="str">
        <f>Table_4.0_Information!$A$13</f>
        <v>10 add state in table 0</v>
      </c>
      <c r="M4" s="22" t="str">
        <f>Table_4.0_Information!$A$14</f>
        <v>11 add state in table 0</v>
      </c>
      <c r="N4" s="22" t="str">
        <f>Table_4.0_Information!$A$15</f>
        <v>12 add state in table 0</v>
      </c>
      <c r="P4" s="18" t="s">
        <v>62</v>
      </c>
      <c r="Q4" s="22" t="str">
        <f>Table_4.0_Information!$A$4</f>
        <v>Colorado</v>
      </c>
      <c r="R4" s="22" t="str">
        <f>Table_4.0_Information!$A$5</f>
        <v>Kentucky</v>
      </c>
      <c r="S4" s="22" t="s">
        <v>337</v>
      </c>
      <c r="T4" s="22" t="str">
        <f>Table_4.0_Information!$A$6</f>
        <v>New Mexico</v>
      </c>
      <c r="U4" s="22" t="s">
        <v>443</v>
      </c>
      <c r="V4" s="22" t="str">
        <f>Table_4.0_Information!$A$8</f>
        <v>5 add state in table 0</v>
      </c>
      <c r="W4" s="22" t="str">
        <f>Table_4.0_Information!$A$9</f>
        <v>6 add state in table 0</v>
      </c>
      <c r="X4" s="22" t="str">
        <f>Table_4.0_Information!$A$10</f>
        <v>7 add state in table 0</v>
      </c>
      <c r="Y4" s="22" t="str">
        <f>Table_4.0_Information!$A$11</f>
        <v>8 add state in table 0</v>
      </c>
      <c r="Z4" s="22" t="str">
        <f>Table_4.0_Information!$A$12</f>
        <v>9 add state in table 0</v>
      </c>
      <c r="AA4" s="22" t="str">
        <f>Table_4.0_Information!$A$13</f>
        <v>10 add state in table 0</v>
      </c>
      <c r="AB4" s="22" t="str">
        <f>Table_4.0_Information!$A$14</f>
        <v>11 add state in table 0</v>
      </c>
      <c r="AC4" s="22" t="str">
        <f>Table_4.0_Information!$A$15</f>
        <v>12 add state in table 0</v>
      </c>
    </row>
    <row r="5" spans="1:29" ht="16" thickTop="1">
      <c r="A5" s="16" t="s">
        <v>85</v>
      </c>
      <c r="B5" s="26">
        <v>59</v>
      </c>
      <c r="C5" s="67">
        <v>159</v>
      </c>
      <c r="D5" s="207">
        <v>71</v>
      </c>
      <c r="E5" s="26">
        <v>22</v>
      </c>
      <c r="F5" s="67">
        <v>100</v>
      </c>
      <c r="G5" s="24"/>
      <c r="H5" s="26"/>
      <c r="I5" s="24"/>
      <c r="J5" s="26"/>
      <c r="K5" s="26"/>
      <c r="L5" s="26"/>
      <c r="M5" s="26"/>
      <c r="N5" s="26"/>
      <c r="O5" s="20" t="s">
        <v>118</v>
      </c>
      <c r="P5" s="20" t="s">
        <v>101</v>
      </c>
      <c r="Q5" s="39">
        <f>B5/B$20</f>
        <v>6.7443987197073618E-3</v>
      </c>
      <c r="R5" s="39">
        <f>C5/C$20</f>
        <v>4.3764278439899808E-3</v>
      </c>
      <c r="S5" s="39">
        <f t="shared" ref="S5:AC19" si="0">D5/D$20</f>
        <v>5.0444049733570162E-3</v>
      </c>
      <c r="T5" s="39">
        <f t="shared" si="0"/>
        <v>4.5842883934152949E-3</v>
      </c>
      <c r="U5" s="39">
        <f t="shared" si="0"/>
        <v>5.6160844659103671E-3</v>
      </c>
      <c r="V5" s="39" t="e">
        <f t="shared" si="0"/>
        <v>#DIV/0!</v>
      </c>
      <c r="W5" s="39" t="e">
        <f t="shared" si="0"/>
        <v>#DIV/0!</v>
      </c>
      <c r="X5" s="39" t="e">
        <f t="shared" si="0"/>
        <v>#DIV/0!</v>
      </c>
      <c r="Y5" s="39" t="e">
        <f t="shared" si="0"/>
        <v>#DIV/0!</v>
      </c>
      <c r="Z5" s="39" t="e">
        <f t="shared" si="0"/>
        <v>#DIV/0!</v>
      </c>
      <c r="AA5" s="39" t="e">
        <f t="shared" si="0"/>
        <v>#DIV/0!</v>
      </c>
      <c r="AB5" s="39" t="e">
        <f t="shared" si="0"/>
        <v>#DIV/0!</v>
      </c>
      <c r="AC5" s="39" t="e">
        <f t="shared" si="0"/>
        <v>#DIV/0!</v>
      </c>
    </row>
    <row r="6" spans="1:29">
      <c r="A6" s="16" t="s">
        <v>87</v>
      </c>
      <c r="B6" s="26">
        <v>19</v>
      </c>
      <c r="C6" s="67">
        <v>69</v>
      </c>
      <c r="D6" s="208">
        <v>34</v>
      </c>
      <c r="E6" s="26">
        <v>10</v>
      </c>
      <c r="F6" s="67">
        <v>42</v>
      </c>
      <c r="G6" s="24"/>
      <c r="H6" s="26"/>
      <c r="I6" s="24"/>
      <c r="J6" s="26"/>
      <c r="K6" s="26"/>
      <c r="L6" s="26"/>
      <c r="M6" s="26"/>
      <c r="N6" s="26"/>
      <c r="O6" s="20" t="s">
        <v>119</v>
      </c>
      <c r="P6" s="20" t="s">
        <v>102</v>
      </c>
      <c r="Q6" s="39">
        <f t="shared" ref="Q6:Q19" si="1">B6/B$20</f>
        <v>2.1719250114311845E-3</v>
      </c>
      <c r="R6" s="39">
        <f t="shared" ref="R6:R19" si="2">C6/C$20</f>
        <v>1.8992045360711237E-3</v>
      </c>
      <c r="S6" s="39">
        <f t="shared" si="0"/>
        <v>2.4156305506216696E-3</v>
      </c>
      <c r="T6" s="39">
        <f t="shared" si="0"/>
        <v>2.0837674515524068E-3</v>
      </c>
      <c r="U6" s="39">
        <f t="shared" si="0"/>
        <v>2.3587554756823543E-3</v>
      </c>
      <c r="V6" s="39" t="e">
        <f t="shared" si="0"/>
        <v>#DIV/0!</v>
      </c>
      <c r="W6" s="39" t="e">
        <f t="shared" si="0"/>
        <v>#DIV/0!</v>
      </c>
      <c r="X6" s="39" t="e">
        <f t="shared" si="0"/>
        <v>#DIV/0!</v>
      </c>
      <c r="Y6" s="39" t="e">
        <f t="shared" si="0"/>
        <v>#DIV/0!</v>
      </c>
      <c r="Z6" s="39" t="e">
        <f t="shared" si="0"/>
        <v>#DIV/0!</v>
      </c>
      <c r="AA6" s="39" t="e">
        <f t="shared" si="0"/>
        <v>#DIV/0!</v>
      </c>
      <c r="AB6" s="39" t="e">
        <f t="shared" si="0"/>
        <v>#DIV/0!</v>
      </c>
      <c r="AC6" s="39" t="e">
        <f t="shared" si="0"/>
        <v>#DIV/0!</v>
      </c>
    </row>
    <row r="7" spans="1:29">
      <c r="A7" s="16" t="s">
        <v>88</v>
      </c>
      <c r="B7" s="26">
        <v>233</v>
      </c>
      <c r="C7" s="67">
        <v>676</v>
      </c>
      <c r="D7" s="208">
        <v>330</v>
      </c>
      <c r="E7" s="26">
        <v>151</v>
      </c>
      <c r="F7" s="67">
        <v>436</v>
      </c>
      <c r="G7" s="24"/>
      <c r="H7" s="26"/>
      <c r="I7" s="24"/>
      <c r="J7" s="26"/>
      <c r="K7" s="26"/>
      <c r="L7" s="26"/>
      <c r="M7" s="26"/>
      <c r="N7" s="26"/>
      <c r="O7" s="20" t="s">
        <v>116</v>
      </c>
      <c r="P7" s="20" t="s">
        <v>103</v>
      </c>
      <c r="Q7" s="39">
        <f t="shared" si="1"/>
        <v>2.6634659350708734E-2</v>
      </c>
      <c r="R7" s="39">
        <f t="shared" si="2"/>
        <v>1.8606699512812748E-2</v>
      </c>
      <c r="S7" s="39">
        <f t="shared" si="0"/>
        <v>2.3445825932504442E-2</v>
      </c>
      <c r="T7" s="39">
        <f t="shared" si="0"/>
        <v>3.1464888518441342E-2</v>
      </c>
      <c r="U7" s="39">
        <f t="shared" si="0"/>
        <v>2.4486128271369201E-2</v>
      </c>
      <c r="V7" s="39" t="e">
        <f t="shared" si="0"/>
        <v>#DIV/0!</v>
      </c>
      <c r="W7" s="39" t="e">
        <f t="shared" si="0"/>
        <v>#DIV/0!</v>
      </c>
      <c r="X7" s="39" t="e">
        <f t="shared" si="0"/>
        <v>#DIV/0!</v>
      </c>
      <c r="Y7" s="39" t="e">
        <f t="shared" si="0"/>
        <v>#DIV/0!</v>
      </c>
      <c r="Z7" s="39" t="e">
        <f t="shared" si="0"/>
        <v>#DIV/0!</v>
      </c>
      <c r="AA7" s="39" t="e">
        <f t="shared" si="0"/>
        <v>#DIV/0!</v>
      </c>
      <c r="AB7" s="39" t="e">
        <f t="shared" si="0"/>
        <v>#DIV/0!</v>
      </c>
      <c r="AC7" s="39" t="e">
        <f t="shared" si="0"/>
        <v>#DIV/0!</v>
      </c>
    </row>
    <row r="8" spans="1:29">
      <c r="A8" s="16" t="s">
        <v>89</v>
      </c>
      <c r="B8" s="26">
        <v>1314</v>
      </c>
      <c r="C8" s="67">
        <v>2081</v>
      </c>
      <c r="D8" s="208">
        <v>1234</v>
      </c>
      <c r="E8" s="26">
        <v>534</v>
      </c>
      <c r="F8" s="67">
        <v>1715</v>
      </c>
      <c r="G8" s="24"/>
      <c r="H8" s="26"/>
      <c r="I8" s="24"/>
      <c r="J8" s="26"/>
      <c r="K8" s="26"/>
      <c r="L8" s="26"/>
      <c r="M8" s="26"/>
      <c r="N8" s="26"/>
      <c r="O8" s="20" t="s">
        <v>117</v>
      </c>
      <c r="P8" s="20" t="s">
        <v>104</v>
      </c>
      <c r="Q8" s="39">
        <f t="shared" si="1"/>
        <v>0.15020576131687244</v>
      </c>
      <c r="R8" s="39">
        <f t="shared" si="2"/>
        <v>5.7278907819768243E-2</v>
      </c>
      <c r="S8" s="39">
        <f t="shared" si="0"/>
        <v>8.7673179396092357E-2</v>
      </c>
      <c r="T8" s="39">
        <f t="shared" si="0"/>
        <v>0.11127318191289852</v>
      </c>
      <c r="U8" s="39">
        <f t="shared" si="0"/>
        <v>9.6315848590362796E-2</v>
      </c>
      <c r="V8" s="39" t="e">
        <f t="shared" si="0"/>
        <v>#DIV/0!</v>
      </c>
      <c r="W8" s="39" t="e">
        <f t="shared" si="0"/>
        <v>#DIV/0!</v>
      </c>
      <c r="X8" s="39" t="e">
        <f t="shared" si="0"/>
        <v>#DIV/0!</v>
      </c>
      <c r="Y8" s="39" t="e">
        <f t="shared" si="0"/>
        <v>#DIV/0!</v>
      </c>
      <c r="Z8" s="39" t="e">
        <f t="shared" si="0"/>
        <v>#DIV/0!</v>
      </c>
      <c r="AA8" s="39" t="e">
        <f t="shared" si="0"/>
        <v>#DIV/0!</v>
      </c>
      <c r="AB8" s="39" t="e">
        <f t="shared" si="0"/>
        <v>#DIV/0!</v>
      </c>
      <c r="AC8" s="39" t="e">
        <f t="shared" si="0"/>
        <v>#DIV/0!</v>
      </c>
    </row>
    <row r="9" spans="1:29">
      <c r="A9" s="16" t="s">
        <v>90</v>
      </c>
      <c r="B9" s="26">
        <v>2000</v>
      </c>
      <c r="C9" s="67">
        <v>17043</v>
      </c>
      <c r="D9" s="208">
        <v>3867</v>
      </c>
      <c r="E9" s="26">
        <v>1438</v>
      </c>
      <c r="F9" s="67">
        <v>4216</v>
      </c>
      <c r="G9" s="24"/>
      <c r="H9" s="26"/>
      <c r="I9" s="24"/>
      <c r="J9" s="26"/>
      <c r="K9" s="26"/>
      <c r="L9" s="26"/>
      <c r="M9" s="26"/>
      <c r="N9" s="26"/>
      <c r="O9" s="20" t="s">
        <v>120</v>
      </c>
      <c r="P9" s="20" t="s">
        <v>105</v>
      </c>
      <c r="Q9" s="39">
        <f t="shared" si="1"/>
        <v>0.22862368541380887</v>
      </c>
      <c r="R9" s="39">
        <f t="shared" si="2"/>
        <v>0.4691035204095676</v>
      </c>
      <c r="S9" s="39">
        <f t="shared" si="0"/>
        <v>0.27474245115452933</v>
      </c>
      <c r="T9" s="39">
        <f t="shared" si="0"/>
        <v>0.29964575953323608</v>
      </c>
      <c r="U9" s="39">
        <f t="shared" si="0"/>
        <v>0.23677412108278109</v>
      </c>
      <c r="V9" s="39" t="e">
        <f t="shared" si="0"/>
        <v>#DIV/0!</v>
      </c>
      <c r="W9" s="39" t="e">
        <f t="shared" si="0"/>
        <v>#DIV/0!</v>
      </c>
      <c r="X9" s="39" t="e">
        <f t="shared" si="0"/>
        <v>#DIV/0!</v>
      </c>
      <c r="Y9" s="39" t="e">
        <f t="shared" si="0"/>
        <v>#DIV/0!</v>
      </c>
      <c r="Z9" s="39" t="e">
        <f t="shared" si="0"/>
        <v>#DIV/0!</v>
      </c>
      <c r="AA9" s="39" t="e">
        <f t="shared" si="0"/>
        <v>#DIV/0!</v>
      </c>
      <c r="AB9" s="39" t="e">
        <f t="shared" si="0"/>
        <v>#DIV/0!</v>
      </c>
      <c r="AC9" s="39" t="e">
        <f t="shared" si="0"/>
        <v>#DIV/0!</v>
      </c>
    </row>
    <row r="10" spans="1:29">
      <c r="A10" s="16" t="s">
        <v>91</v>
      </c>
      <c r="B10" s="26">
        <v>23</v>
      </c>
      <c r="C10" s="67">
        <v>28</v>
      </c>
      <c r="D10" s="208">
        <v>17</v>
      </c>
      <c r="E10" s="26">
        <v>8</v>
      </c>
      <c r="F10" s="67">
        <v>24</v>
      </c>
      <c r="G10" s="24"/>
      <c r="H10" s="26"/>
      <c r="I10" s="24"/>
      <c r="J10" s="26"/>
      <c r="K10" s="26"/>
      <c r="L10" s="26"/>
      <c r="M10" s="26"/>
      <c r="N10" s="26"/>
      <c r="O10" s="20" t="s">
        <v>121</v>
      </c>
      <c r="P10" s="20" t="s">
        <v>106</v>
      </c>
      <c r="Q10" s="39">
        <f t="shared" si="1"/>
        <v>2.6291723822588018E-3</v>
      </c>
      <c r="R10" s="39">
        <f t="shared" si="2"/>
        <v>7.7069169579697776E-4</v>
      </c>
      <c r="S10" s="39">
        <f t="shared" si="0"/>
        <v>1.2078152753108348E-3</v>
      </c>
      <c r="T10" s="39">
        <f t="shared" si="0"/>
        <v>1.6670139612419254E-3</v>
      </c>
      <c r="U10" s="39">
        <f t="shared" si="0"/>
        <v>1.3478602718184881E-3</v>
      </c>
      <c r="V10" s="39" t="e">
        <f t="shared" si="0"/>
        <v>#DIV/0!</v>
      </c>
      <c r="W10" s="39" t="e">
        <f t="shared" si="0"/>
        <v>#DIV/0!</v>
      </c>
      <c r="X10" s="39" t="e">
        <f t="shared" si="0"/>
        <v>#DIV/0!</v>
      </c>
      <c r="Y10" s="39" t="e">
        <f t="shared" si="0"/>
        <v>#DIV/0!</v>
      </c>
      <c r="Z10" s="39" t="e">
        <f t="shared" si="0"/>
        <v>#DIV/0!</v>
      </c>
      <c r="AA10" s="39" t="e">
        <f t="shared" si="0"/>
        <v>#DIV/0!</v>
      </c>
      <c r="AB10" s="39" t="e">
        <f t="shared" si="0"/>
        <v>#DIV/0!</v>
      </c>
      <c r="AC10" s="39" t="e">
        <f t="shared" si="0"/>
        <v>#DIV/0!</v>
      </c>
    </row>
    <row r="11" spans="1:29">
      <c r="A11" s="16" t="s">
        <v>92</v>
      </c>
      <c r="B11" s="26">
        <v>1277</v>
      </c>
      <c r="C11" s="67">
        <v>4097</v>
      </c>
      <c r="D11" s="208">
        <v>2492</v>
      </c>
      <c r="E11" s="26">
        <v>767</v>
      </c>
      <c r="F11" s="67">
        <v>3233</v>
      </c>
      <c r="G11" s="24"/>
      <c r="H11" s="26"/>
      <c r="I11" s="24"/>
      <c r="J11" s="26"/>
      <c r="K11" s="26"/>
      <c r="L11" s="26"/>
      <c r="M11" s="26"/>
      <c r="N11" s="26"/>
      <c r="O11" s="20" t="s">
        <v>122</v>
      </c>
      <c r="P11" s="20" t="s">
        <v>107</v>
      </c>
      <c r="Q11" s="39">
        <f t="shared" si="1"/>
        <v>0.14597622313671696</v>
      </c>
      <c r="R11" s="39">
        <f t="shared" si="2"/>
        <v>0.11276870991715064</v>
      </c>
      <c r="S11" s="39">
        <f t="shared" si="0"/>
        <v>0.17705150976909415</v>
      </c>
      <c r="T11" s="39">
        <f t="shared" si="0"/>
        <v>0.15982496353406961</v>
      </c>
      <c r="U11" s="39">
        <f t="shared" si="0"/>
        <v>0.18156801078288218</v>
      </c>
      <c r="V11" s="39" t="e">
        <f t="shared" si="0"/>
        <v>#DIV/0!</v>
      </c>
      <c r="W11" s="39" t="e">
        <f t="shared" si="0"/>
        <v>#DIV/0!</v>
      </c>
      <c r="X11" s="39" t="e">
        <f t="shared" si="0"/>
        <v>#DIV/0!</v>
      </c>
      <c r="Y11" s="39" t="e">
        <f t="shared" si="0"/>
        <v>#DIV/0!</v>
      </c>
      <c r="Z11" s="39" t="e">
        <f t="shared" si="0"/>
        <v>#DIV/0!</v>
      </c>
      <c r="AA11" s="39" t="e">
        <f t="shared" si="0"/>
        <v>#DIV/0!</v>
      </c>
      <c r="AB11" s="39" t="e">
        <f t="shared" si="0"/>
        <v>#DIV/0!</v>
      </c>
      <c r="AC11" s="39" t="e">
        <f t="shared" si="0"/>
        <v>#DIV/0!</v>
      </c>
    </row>
    <row r="12" spans="1:29">
      <c r="A12" s="16" t="s">
        <v>93</v>
      </c>
      <c r="B12" s="26">
        <v>1316</v>
      </c>
      <c r="C12" s="67">
        <v>4204</v>
      </c>
      <c r="D12" s="208">
        <v>2048</v>
      </c>
      <c r="E12" s="26">
        <v>740</v>
      </c>
      <c r="F12" s="67">
        <v>2507</v>
      </c>
      <c r="G12" s="24"/>
      <c r="H12" s="26"/>
      <c r="I12" s="24"/>
      <c r="J12" s="26"/>
      <c r="K12" s="26"/>
      <c r="L12" s="26"/>
      <c r="M12" s="26"/>
      <c r="N12" s="26"/>
      <c r="O12" s="20" t="s">
        <v>123</v>
      </c>
      <c r="P12" s="20" t="s">
        <v>108</v>
      </c>
      <c r="Q12" s="39">
        <f t="shared" si="1"/>
        <v>0.15043438500228623</v>
      </c>
      <c r="R12" s="39">
        <f t="shared" si="2"/>
        <v>0.11571385318323195</v>
      </c>
      <c r="S12" s="39">
        <f t="shared" si="0"/>
        <v>0.14550621669626998</v>
      </c>
      <c r="T12" s="39">
        <f t="shared" si="0"/>
        <v>0.15419879141487811</v>
      </c>
      <c r="U12" s="39">
        <f t="shared" si="0"/>
        <v>0.1407952375603729</v>
      </c>
      <c r="V12" s="39" t="e">
        <f t="shared" si="0"/>
        <v>#DIV/0!</v>
      </c>
      <c r="W12" s="39" t="e">
        <f t="shared" si="0"/>
        <v>#DIV/0!</v>
      </c>
      <c r="X12" s="39" t="e">
        <f t="shared" si="0"/>
        <v>#DIV/0!</v>
      </c>
      <c r="Y12" s="39" t="e">
        <f t="shared" si="0"/>
        <v>#DIV/0!</v>
      </c>
      <c r="Z12" s="39" t="e">
        <f t="shared" si="0"/>
        <v>#DIV/0!</v>
      </c>
      <c r="AA12" s="39" t="e">
        <f t="shared" si="0"/>
        <v>#DIV/0!</v>
      </c>
      <c r="AB12" s="39" t="e">
        <f t="shared" si="0"/>
        <v>#DIV/0!</v>
      </c>
      <c r="AC12" s="39" t="e">
        <f t="shared" si="0"/>
        <v>#DIV/0!</v>
      </c>
    </row>
    <row r="13" spans="1:29">
      <c r="A13" s="16" t="s">
        <v>94</v>
      </c>
      <c r="B13" s="26">
        <v>224</v>
      </c>
      <c r="C13" s="67">
        <v>608</v>
      </c>
      <c r="D13" s="208">
        <v>278</v>
      </c>
      <c r="E13" s="26">
        <v>98</v>
      </c>
      <c r="F13" s="67">
        <v>443</v>
      </c>
      <c r="G13" s="35"/>
      <c r="H13" s="26"/>
      <c r="I13" s="35"/>
      <c r="J13" s="26"/>
      <c r="K13" s="26"/>
      <c r="L13" s="26"/>
      <c r="M13" s="26"/>
      <c r="N13" s="26"/>
      <c r="O13" s="20" t="s">
        <v>124</v>
      </c>
      <c r="P13" s="20" t="s">
        <v>109</v>
      </c>
      <c r="Q13" s="39">
        <f t="shared" si="1"/>
        <v>2.5605852766346592E-2</v>
      </c>
      <c r="R13" s="39">
        <f t="shared" si="2"/>
        <v>1.6735019680162947E-2</v>
      </c>
      <c r="S13" s="39">
        <f t="shared" si="0"/>
        <v>1.9751332149200711E-2</v>
      </c>
      <c r="T13" s="39">
        <f t="shared" si="0"/>
        <v>2.0420921025213586E-2</v>
      </c>
      <c r="U13" s="39">
        <f t="shared" si="0"/>
        <v>2.4879254183982926E-2</v>
      </c>
      <c r="V13" s="39" t="e">
        <f t="shared" si="0"/>
        <v>#DIV/0!</v>
      </c>
      <c r="W13" s="39" t="e">
        <f t="shared" si="0"/>
        <v>#DIV/0!</v>
      </c>
      <c r="X13" s="39" t="e">
        <f t="shared" si="0"/>
        <v>#DIV/0!</v>
      </c>
      <c r="Y13" s="39" t="e">
        <f t="shared" si="0"/>
        <v>#DIV/0!</v>
      </c>
      <c r="Z13" s="39" t="e">
        <f t="shared" si="0"/>
        <v>#DIV/0!</v>
      </c>
      <c r="AA13" s="39" t="e">
        <f t="shared" si="0"/>
        <v>#DIV/0!</v>
      </c>
      <c r="AB13" s="39" t="e">
        <f t="shared" si="0"/>
        <v>#DIV/0!</v>
      </c>
      <c r="AC13" s="39" t="e">
        <f t="shared" si="0"/>
        <v>#DIV/0!</v>
      </c>
    </row>
    <row r="14" spans="1:29">
      <c r="A14" s="16" t="s">
        <v>95</v>
      </c>
      <c r="B14" s="26">
        <v>479</v>
      </c>
      <c r="C14" s="67">
        <v>1145</v>
      </c>
      <c r="D14" s="208">
        <v>671</v>
      </c>
      <c r="E14" s="26">
        <v>236</v>
      </c>
      <c r="F14" s="67">
        <v>902</v>
      </c>
      <c r="G14" s="26"/>
      <c r="H14" s="26"/>
      <c r="I14" s="26"/>
      <c r="J14" s="26"/>
      <c r="K14" s="26"/>
      <c r="L14" s="26"/>
      <c r="M14" s="26"/>
      <c r="N14" s="26"/>
      <c r="O14" s="20" t="s">
        <v>125</v>
      </c>
      <c r="P14" s="20" t="s">
        <v>110</v>
      </c>
      <c r="Q14" s="39">
        <f t="shared" si="1"/>
        <v>5.4755372656607224E-2</v>
      </c>
      <c r="R14" s="39">
        <f t="shared" si="2"/>
        <v>3.151578541741213E-2</v>
      </c>
      <c r="S14" s="39">
        <f t="shared" si="0"/>
        <v>4.7673179396092363E-2</v>
      </c>
      <c r="T14" s="39">
        <f t="shared" si="0"/>
        <v>4.91769118566368E-2</v>
      </c>
      <c r="U14" s="39">
        <f t="shared" si="0"/>
        <v>5.0657081882511515E-2</v>
      </c>
      <c r="V14" s="39" t="e">
        <f t="shared" si="0"/>
        <v>#DIV/0!</v>
      </c>
      <c r="W14" s="39" t="e">
        <f t="shared" si="0"/>
        <v>#DIV/0!</v>
      </c>
      <c r="X14" s="39" t="e">
        <f t="shared" si="0"/>
        <v>#DIV/0!</v>
      </c>
      <c r="Y14" s="39" t="e">
        <f t="shared" si="0"/>
        <v>#DIV/0!</v>
      </c>
      <c r="Z14" s="39" t="e">
        <f t="shared" si="0"/>
        <v>#DIV/0!</v>
      </c>
      <c r="AA14" s="39" t="e">
        <f t="shared" si="0"/>
        <v>#DIV/0!</v>
      </c>
      <c r="AB14" s="39" t="e">
        <f t="shared" si="0"/>
        <v>#DIV/0!</v>
      </c>
      <c r="AC14" s="39" t="e">
        <f t="shared" si="0"/>
        <v>#DIV/0!</v>
      </c>
    </row>
    <row r="15" spans="1:29">
      <c r="A15" s="16" t="s">
        <v>96</v>
      </c>
      <c r="B15" s="26">
        <v>220</v>
      </c>
      <c r="C15" s="67">
        <v>943</v>
      </c>
      <c r="D15" s="208">
        <v>518</v>
      </c>
      <c r="E15" s="26">
        <v>110</v>
      </c>
      <c r="F15" s="67">
        <v>681</v>
      </c>
      <c r="G15" s="26"/>
      <c r="H15" s="26"/>
      <c r="I15" s="26"/>
      <c r="J15" s="26"/>
      <c r="K15" s="26"/>
      <c r="L15" s="26"/>
      <c r="M15" s="26"/>
      <c r="N15" s="26"/>
      <c r="O15" s="20" t="s">
        <v>126</v>
      </c>
      <c r="P15" s="20" t="s">
        <v>111</v>
      </c>
      <c r="Q15" s="39">
        <f t="shared" si="1"/>
        <v>2.5148605395518976E-2</v>
      </c>
      <c r="R15" s="39">
        <f t="shared" si="2"/>
        <v>2.5955795326305358E-2</v>
      </c>
      <c r="S15" s="39">
        <f t="shared" si="0"/>
        <v>3.6802841918294846E-2</v>
      </c>
      <c r="T15" s="39">
        <f t="shared" si="0"/>
        <v>2.2921441967076475E-2</v>
      </c>
      <c r="U15" s="39">
        <f t="shared" si="0"/>
        <v>3.8245535212849603E-2</v>
      </c>
      <c r="V15" s="39" t="e">
        <f t="shared" si="0"/>
        <v>#DIV/0!</v>
      </c>
      <c r="W15" s="39" t="e">
        <f t="shared" si="0"/>
        <v>#DIV/0!</v>
      </c>
      <c r="X15" s="39" t="e">
        <f t="shared" si="0"/>
        <v>#DIV/0!</v>
      </c>
      <c r="Y15" s="39" t="e">
        <f t="shared" si="0"/>
        <v>#DIV/0!</v>
      </c>
      <c r="Z15" s="39" t="e">
        <f t="shared" si="0"/>
        <v>#DIV/0!</v>
      </c>
      <c r="AA15" s="39" t="e">
        <f t="shared" si="0"/>
        <v>#DIV/0!</v>
      </c>
      <c r="AB15" s="39" t="e">
        <f t="shared" si="0"/>
        <v>#DIV/0!</v>
      </c>
      <c r="AC15" s="39" t="e">
        <f t="shared" si="0"/>
        <v>#DIV/0!</v>
      </c>
    </row>
    <row r="16" spans="1:29">
      <c r="A16" s="16" t="s">
        <v>97</v>
      </c>
      <c r="B16" s="26">
        <v>64</v>
      </c>
      <c r="C16" s="67">
        <v>155</v>
      </c>
      <c r="D16" s="208">
        <v>68</v>
      </c>
      <c r="E16" s="26">
        <v>28</v>
      </c>
      <c r="F16" s="67">
        <v>111</v>
      </c>
      <c r="G16" s="26"/>
      <c r="H16" s="26"/>
      <c r="I16" s="26"/>
      <c r="J16" s="26"/>
      <c r="K16" s="26"/>
      <c r="L16" s="26"/>
      <c r="M16" s="26"/>
      <c r="N16" s="26"/>
      <c r="O16" s="20" t="s">
        <v>127</v>
      </c>
      <c r="P16" s="20" t="s">
        <v>112</v>
      </c>
      <c r="Q16" s="39">
        <f t="shared" si="1"/>
        <v>7.3159579332418836E-3</v>
      </c>
      <c r="R16" s="39">
        <f t="shared" si="2"/>
        <v>4.2663290303046981E-3</v>
      </c>
      <c r="S16" s="39">
        <f t="shared" si="0"/>
        <v>4.8312611012433391E-3</v>
      </c>
      <c r="T16" s="39">
        <f t="shared" si="0"/>
        <v>5.8345488643467393E-3</v>
      </c>
      <c r="U16" s="39">
        <f t="shared" si="0"/>
        <v>6.233853757160508E-3</v>
      </c>
      <c r="V16" s="39" t="e">
        <f t="shared" si="0"/>
        <v>#DIV/0!</v>
      </c>
      <c r="W16" s="39" t="e">
        <f t="shared" si="0"/>
        <v>#DIV/0!</v>
      </c>
      <c r="X16" s="39" t="e">
        <f t="shared" si="0"/>
        <v>#DIV/0!</v>
      </c>
      <c r="Y16" s="39" t="e">
        <f t="shared" si="0"/>
        <v>#DIV/0!</v>
      </c>
      <c r="Z16" s="39" t="e">
        <f t="shared" si="0"/>
        <v>#DIV/0!</v>
      </c>
      <c r="AA16" s="39" t="e">
        <f t="shared" si="0"/>
        <v>#DIV/0!</v>
      </c>
      <c r="AB16" s="39" t="e">
        <f t="shared" si="0"/>
        <v>#DIV/0!</v>
      </c>
      <c r="AC16" s="39" t="e">
        <f t="shared" si="0"/>
        <v>#DIV/0!</v>
      </c>
    </row>
    <row r="17" spans="1:29">
      <c r="A17" s="16" t="s">
        <v>98</v>
      </c>
      <c r="B17" s="26">
        <v>265</v>
      </c>
      <c r="C17" s="67">
        <v>536</v>
      </c>
      <c r="D17" s="208">
        <v>219</v>
      </c>
      <c r="E17" s="26">
        <v>102</v>
      </c>
      <c r="F17" s="67">
        <v>407</v>
      </c>
      <c r="G17" s="26"/>
      <c r="H17" s="26"/>
      <c r="I17" s="26"/>
      <c r="J17" s="26"/>
      <c r="K17" s="26"/>
      <c r="L17" s="26"/>
      <c r="M17" s="26"/>
      <c r="N17" s="26"/>
      <c r="O17" s="20" t="s">
        <v>128</v>
      </c>
      <c r="P17" s="20" t="s">
        <v>113</v>
      </c>
      <c r="Q17" s="39">
        <f t="shared" si="1"/>
        <v>3.0292638317329677E-2</v>
      </c>
      <c r="R17" s="39">
        <f t="shared" si="2"/>
        <v>1.4753241033827861E-2</v>
      </c>
      <c r="S17" s="39">
        <f t="shared" si="0"/>
        <v>1.5559502664298402E-2</v>
      </c>
      <c r="T17" s="39">
        <f t="shared" si="0"/>
        <v>2.125442800583455E-2</v>
      </c>
      <c r="U17" s="39">
        <f t="shared" si="0"/>
        <v>2.2857463776255194E-2</v>
      </c>
      <c r="V17" s="39" t="e">
        <f t="shared" si="0"/>
        <v>#DIV/0!</v>
      </c>
      <c r="W17" s="39" t="e">
        <f t="shared" si="0"/>
        <v>#DIV/0!</v>
      </c>
      <c r="X17" s="39" t="e">
        <f t="shared" si="0"/>
        <v>#DIV/0!</v>
      </c>
      <c r="Y17" s="39" t="e">
        <f t="shared" si="0"/>
        <v>#DIV/0!</v>
      </c>
      <c r="Z17" s="39" t="e">
        <f t="shared" si="0"/>
        <v>#DIV/0!</v>
      </c>
      <c r="AA17" s="39" t="e">
        <f t="shared" si="0"/>
        <v>#DIV/0!</v>
      </c>
      <c r="AB17" s="39" t="e">
        <f t="shared" si="0"/>
        <v>#DIV/0!</v>
      </c>
      <c r="AC17" s="39" t="e">
        <f t="shared" si="0"/>
        <v>#DIV/0!</v>
      </c>
    </row>
    <row r="18" spans="1:29">
      <c r="A18" s="16" t="s">
        <v>99</v>
      </c>
      <c r="B18" s="26">
        <v>131</v>
      </c>
      <c r="C18" s="67">
        <v>305</v>
      </c>
      <c r="D18" s="208">
        <v>127</v>
      </c>
      <c r="E18" s="26">
        <v>44</v>
      </c>
      <c r="F18" s="67">
        <v>245</v>
      </c>
      <c r="G18" s="26"/>
      <c r="H18" s="26"/>
      <c r="I18" s="26"/>
      <c r="J18" s="26"/>
      <c r="K18" s="26"/>
      <c r="L18" s="26"/>
      <c r="M18" s="26"/>
      <c r="N18" s="26"/>
      <c r="O18" s="20" t="s">
        <v>129</v>
      </c>
      <c r="P18" s="20" t="s">
        <v>114</v>
      </c>
      <c r="Q18" s="39">
        <f t="shared" si="1"/>
        <v>1.4974851394604482E-2</v>
      </c>
      <c r="R18" s="39">
        <f t="shared" si="2"/>
        <v>8.395034543502794E-3</v>
      </c>
      <c r="S18" s="39">
        <f t="shared" si="0"/>
        <v>9.0230905861456486E-3</v>
      </c>
      <c r="T18" s="39">
        <f t="shared" si="0"/>
        <v>9.1685767868305897E-3</v>
      </c>
      <c r="U18" s="39">
        <f t="shared" si="0"/>
        <v>1.3759406941480401E-2</v>
      </c>
      <c r="V18" s="39" t="e">
        <f t="shared" si="0"/>
        <v>#DIV/0!</v>
      </c>
      <c r="W18" s="39" t="e">
        <f t="shared" si="0"/>
        <v>#DIV/0!</v>
      </c>
      <c r="X18" s="39" t="e">
        <f t="shared" si="0"/>
        <v>#DIV/0!</v>
      </c>
      <c r="Y18" s="39" t="e">
        <f t="shared" si="0"/>
        <v>#DIV/0!</v>
      </c>
      <c r="Z18" s="39" t="e">
        <f t="shared" si="0"/>
        <v>#DIV/0!</v>
      </c>
      <c r="AA18" s="39" t="e">
        <f t="shared" si="0"/>
        <v>#DIV/0!</v>
      </c>
      <c r="AB18" s="39" t="e">
        <f t="shared" si="0"/>
        <v>#DIV/0!</v>
      </c>
      <c r="AC18" s="39" t="e">
        <f t="shared" si="0"/>
        <v>#DIV/0!</v>
      </c>
    </row>
    <row r="19" spans="1:29">
      <c r="A19" s="16" t="s">
        <v>100</v>
      </c>
      <c r="B19" s="26">
        <v>1124</v>
      </c>
      <c r="C19" s="67">
        <v>4282</v>
      </c>
      <c r="D19" s="208">
        <v>2101</v>
      </c>
      <c r="E19" s="26">
        <v>511</v>
      </c>
      <c r="F19" s="67">
        <v>2744</v>
      </c>
      <c r="G19" s="26"/>
      <c r="H19" s="26"/>
      <c r="I19" s="26"/>
      <c r="J19" s="26"/>
      <c r="K19" s="26"/>
      <c r="L19" s="26"/>
      <c r="M19" s="26"/>
      <c r="N19" s="26"/>
      <c r="O19" s="20" t="s">
        <v>130</v>
      </c>
      <c r="P19" s="20" t="s">
        <v>115</v>
      </c>
      <c r="Q19" s="39">
        <f t="shared" si="1"/>
        <v>0.12848651120256058</v>
      </c>
      <c r="R19" s="39">
        <f t="shared" si="2"/>
        <v>0.11786078005009495</v>
      </c>
      <c r="S19" s="39">
        <f t="shared" si="0"/>
        <v>0.14927175843694493</v>
      </c>
      <c r="T19" s="39">
        <f t="shared" si="0"/>
        <v>0.10648051677432799</v>
      </c>
      <c r="U19" s="39">
        <f t="shared" si="0"/>
        <v>0.15410535774458048</v>
      </c>
      <c r="V19" s="39" t="e">
        <f t="shared" si="0"/>
        <v>#DIV/0!</v>
      </c>
      <c r="W19" s="39" t="e">
        <f t="shared" si="0"/>
        <v>#DIV/0!</v>
      </c>
      <c r="X19" s="39" t="e">
        <f t="shared" si="0"/>
        <v>#DIV/0!</v>
      </c>
      <c r="Y19" s="39" t="e">
        <f t="shared" si="0"/>
        <v>#DIV/0!</v>
      </c>
      <c r="Z19" s="39" t="e">
        <f t="shared" si="0"/>
        <v>#DIV/0!</v>
      </c>
      <c r="AA19" s="39" t="e">
        <f t="shared" si="0"/>
        <v>#DIV/0!</v>
      </c>
      <c r="AB19" s="39" t="e">
        <f t="shared" si="0"/>
        <v>#DIV/0!</v>
      </c>
      <c r="AC19" s="39" t="e">
        <f t="shared" si="0"/>
        <v>#DIV/0!</v>
      </c>
    </row>
    <row r="20" spans="1:29">
      <c r="A20" s="4" t="s">
        <v>80</v>
      </c>
      <c r="B20" s="2">
        <f>SUM(B5:B19)</f>
        <v>8748</v>
      </c>
      <c r="C20" s="2">
        <f t="shared" ref="C20:N20" si="3">SUM(C5:C19)</f>
        <v>36331</v>
      </c>
      <c r="D20" s="202">
        <f>SUM(D5:D19)</f>
        <v>14075</v>
      </c>
      <c r="E20" s="2">
        <f t="shared" si="3"/>
        <v>4799</v>
      </c>
      <c r="F20" s="2">
        <f t="shared" si="3"/>
        <v>17806</v>
      </c>
      <c r="G20" s="2">
        <f t="shared" si="3"/>
        <v>0</v>
      </c>
      <c r="H20" s="2">
        <f t="shared" si="3"/>
        <v>0</v>
      </c>
      <c r="I20" s="2">
        <f t="shared" si="3"/>
        <v>0</v>
      </c>
      <c r="J20" s="2">
        <f t="shared" si="3"/>
        <v>0</v>
      </c>
      <c r="K20" s="2">
        <f t="shared" si="3"/>
        <v>0</v>
      </c>
      <c r="L20" s="2">
        <f t="shared" si="3"/>
        <v>0</v>
      </c>
      <c r="M20" s="2">
        <f t="shared" si="3"/>
        <v>0</v>
      </c>
      <c r="N20" s="2">
        <f t="shared" si="3"/>
        <v>0</v>
      </c>
    </row>
    <row r="21" spans="1:29">
      <c r="A21" s="4"/>
      <c r="B21" s="2"/>
      <c r="C21" s="2"/>
      <c r="D21" s="2"/>
      <c r="E21" s="2"/>
      <c r="F21" s="2"/>
    </row>
    <row r="22" spans="1:29">
      <c r="A22" s="4"/>
      <c r="B22" s="2"/>
      <c r="C22" s="2"/>
      <c r="D22" s="2"/>
      <c r="E22" s="2"/>
      <c r="F22" s="2"/>
    </row>
    <row r="23" spans="1:29">
      <c r="A23" s="4"/>
      <c r="B23" s="2"/>
      <c r="C23" s="2"/>
      <c r="D23" s="2"/>
      <c r="E23" s="2"/>
      <c r="F23" s="2"/>
    </row>
    <row r="24" spans="1:29">
      <c r="A24" s="4"/>
      <c r="B24" s="2"/>
      <c r="C24" s="2"/>
      <c r="D24" s="2"/>
      <c r="E24" s="2"/>
      <c r="F24" s="2"/>
    </row>
    <row r="25" spans="1:29">
      <c r="A25" s="4"/>
      <c r="B25" s="2"/>
      <c r="C25" s="2"/>
      <c r="D25" s="2"/>
      <c r="E25" s="2"/>
      <c r="F25" s="2"/>
    </row>
    <row r="26" spans="1:29">
      <c r="A26" s="4"/>
      <c r="B26" s="2"/>
      <c r="C26" s="2"/>
      <c r="D26" s="2"/>
      <c r="E26" s="2"/>
      <c r="F26" s="2"/>
      <c r="U26" s="20" t="s">
        <v>101</v>
      </c>
    </row>
    <row r="27" spans="1:29">
      <c r="A27" s="4"/>
      <c r="B27" s="2"/>
      <c r="C27" s="2"/>
      <c r="D27" s="2"/>
      <c r="E27" s="2"/>
      <c r="F27" s="2"/>
      <c r="U27" s="20" t="s">
        <v>102</v>
      </c>
    </row>
    <row r="28" spans="1:29">
      <c r="A28" s="4"/>
      <c r="B28" s="2"/>
      <c r="C28" s="2"/>
      <c r="D28" s="2"/>
      <c r="E28" s="2"/>
      <c r="F28" s="2"/>
      <c r="U28" s="20" t="s">
        <v>103</v>
      </c>
    </row>
    <row r="29" spans="1:29">
      <c r="A29" s="4"/>
      <c r="B29" s="2"/>
      <c r="C29" s="2"/>
      <c r="D29" s="2"/>
      <c r="E29" s="2"/>
      <c r="F29" s="2"/>
      <c r="U29" s="20" t="s">
        <v>104</v>
      </c>
    </row>
    <row r="30" spans="1:29">
      <c r="A30" s="4"/>
      <c r="B30" s="2"/>
      <c r="C30" s="2"/>
      <c r="D30" s="2"/>
      <c r="E30" s="2"/>
      <c r="F30" s="2"/>
      <c r="U30" s="20" t="s">
        <v>105</v>
      </c>
    </row>
    <row r="31" spans="1:29">
      <c r="A31" s="4"/>
      <c r="B31" s="2"/>
      <c r="C31" s="2"/>
      <c r="D31" s="2"/>
      <c r="E31" s="2"/>
      <c r="F31" s="2"/>
      <c r="U31" s="20" t="s">
        <v>106</v>
      </c>
    </row>
    <row r="32" spans="1:29">
      <c r="A32" s="4"/>
      <c r="B32" s="2"/>
      <c r="C32" s="2"/>
      <c r="D32" s="2"/>
      <c r="E32" s="2"/>
      <c r="F32" s="2"/>
      <c r="U32" s="20" t="s">
        <v>107</v>
      </c>
    </row>
    <row r="33" spans="1:21">
      <c r="A33" s="4"/>
      <c r="B33" s="2"/>
      <c r="C33" s="2"/>
      <c r="D33" s="2"/>
      <c r="E33" s="2"/>
      <c r="F33" s="2"/>
      <c r="U33" s="20" t="s">
        <v>108</v>
      </c>
    </row>
    <row r="34" spans="1:21">
      <c r="A34" s="4"/>
      <c r="B34" s="2"/>
      <c r="C34" s="2"/>
      <c r="D34" s="2"/>
      <c r="E34" s="2"/>
      <c r="F34" s="2"/>
      <c r="U34" s="20" t="s">
        <v>109</v>
      </c>
    </row>
    <row r="35" spans="1:21">
      <c r="A35" s="4"/>
      <c r="B35" s="2"/>
      <c r="C35" s="2"/>
      <c r="D35" s="2"/>
      <c r="E35" s="2"/>
      <c r="F35" s="2"/>
      <c r="U35" s="20" t="s">
        <v>110</v>
      </c>
    </row>
    <row r="36" spans="1:21">
      <c r="A36" s="4"/>
      <c r="B36" s="2"/>
      <c r="C36" s="2"/>
      <c r="D36" s="2"/>
      <c r="E36" s="2"/>
      <c r="F36" s="2"/>
      <c r="U36" s="20" t="s">
        <v>111</v>
      </c>
    </row>
    <row r="37" spans="1:21">
      <c r="A37" s="4"/>
      <c r="B37" s="2"/>
      <c r="C37" s="2"/>
      <c r="D37" s="2"/>
      <c r="E37" s="2"/>
      <c r="F37" s="2"/>
      <c r="U37" s="20" t="s">
        <v>112</v>
      </c>
    </row>
    <row r="38" spans="1:21">
      <c r="A38" s="4"/>
      <c r="B38" s="2"/>
      <c r="C38" s="2"/>
      <c r="D38" s="2"/>
      <c r="E38" s="2"/>
      <c r="F38" s="2"/>
      <c r="U38" s="20" t="s">
        <v>113</v>
      </c>
    </row>
    <row r="39" spans="1:21">
      <c r="A39" s="4"/>
      <c r="B39" s="2"/>
      <c r="C39" s="2"/>
      <c r="D39" s="2"/>
      <c r="E39" s="2"/>
      <c r="F39" s="2"/>
      <c r="U39" s="20" t="s">
        <v>114</v>
      </c>
    </row>
    <row r="40" spans="1:21">
      <c r="A40" s="4"/>
      <c r="B40" s="2"/>
      <c r="C40" s="2"/>
      <c r="D40" s="2"/>
      <c r="E40" s="2"/>
      <c r="F40" s="2"/>
      <c r="U40" s="20" t="s">
        <v>115</v>
      </c>
    </row>
    <row r="41" spans="1:21">
      <c r="A41" s="4"/>
      <c r="B41" s="2"/>
      <c r="C41" s="2"/>
      <c r="D41" s="2"/>
      <c r="E41" s="2"/>
      <c r="F41" s="2"/>
    </row>
    <row r="42" spans="1:21">
      <c r="A42" s="4"/>
      <c r="B42" s="2"/>
      <c r="C42" s="2"/>
      <c r="D42" s="2"/>
      <c r="E42" s="2"/>
      <c r="F42" s="2"/>
    </row>
    <row r="43" spans="1:21">
      <c r="A43" s="4"/>
      <c r="B43" s="2"/>
      <c r="C43" s="2"/>
      <c r="D43" s="2"/>
      <c r="E43" s="2"/>
      <c r="F43" s="2"/>
    </row>
    <row r="44" spans="1:21">
      <c r="A44" s="4"/>
      <c r="B44" s="2"/>
      <c r="C44" s="2"/>
      <c r="D44" s="2"/>
      <c r="E44" s="2"/>
      <c r="F44" s="2"/>
    </row>
    <row r="45" spans="1:21">
      <c r="A45" s="4"/>
      <c r="B45" s="2"/>
      <c r="C45" s="2"/>
      <c r="D45" s="2"/>
      <c r="E45" s="2"/>
      <c r="F45" s="2"/>
    </row>
    <row r="46" spans="1:21">
      <c r="A46" s="4"/>
      <c r="B46" s="2"/>
      <c r="C46" s="2"/>
      <c r="D46" s="2"/>
      <c r="E46" s="2"/>
      <c r="F46" s="2"/>
    </row>
    <row r="47" spans="1:21">
      <c r="A47" s="4"/>
      <c r="B47" s="2"/>
      <c r="C47" s="2"/>
      <c r="D47" s="2"/>
      <c r="E47" s="2"/>
      <c r="F47" s="2"/>
    </row>
    <row r="48" spans="1:21">
      <c r="A48" s="4"/>
      <c r="B48" s="2"/>
      <c r="C48" s="2"/>
      <c r="D48" s="2"/>
      <c r="E48" s="2"/>
      <c r="F48" s="2"/>
    </row>
    <row r="49" spans="1:6">
      <c r="A49" s="4"/>
      <c r="B49" s="2"/>
      <c r="C49" s="2"/>
      <c r="D49" s="2"/>
      <c r="E49" s="2"/>
      <c r="F49" s="2"/>
    </row>
    <row r="50" spans="1:6">
      <c r="A50" s="4"/>
      <c r="B50" s="2"/>
      <c r="C50" s="2"/>
      <c r="D50" s="2"/>
      <c r="E50" s="2"/>
      <c r="F50" s="2"/>
    </row>
    <row r="51" spans="1:6">
      <c r="A51" s="4"/>
      <c r="B51" s="2"/>
      <c r="C51" s="2"/>
      <c r="D51" s="2"/>
      <c r="E51" s="2"/>
      <c r="F51" s="2"/>
    </row>
    <row r="52" spans="1:6">
      <c r="A52" s="4"/>
      <c r="B52" s="2"/>
      <c r="C52" s="2"/>
      <c r="D52" s="2"/>
      <c r="E52" s="2"/>
      <c r="F52" s="2"/>
    </row>
    <row r="53" spans="1:6">
      <c r="A53" s="4"/>
      <c r="B53" s="2"/>
      <c r="C53" s="2"/>
      <c r="D53" s="2"/>
      <c r="E53" s="2"/>
      <c r="F53" s="2"/>
    </row>
    <row r="54" spans="1:6">
      <c r="A54" s="4"/>
      <c r="B54" s="2"/>
      <c r="C54" s="2"/>
      <c r="D54" s="2"/>
      <c r="E54" s="2"/>
      <c r="F54" s="2"/>
    </row>
    <row r="55" spans="1:6">
      <c r="A55" s="4"/>
      <c r="B55" s="2"/>
      <c r="C55" s="2"/>
      <c r="D55" s="2"/>
      <c r="E55" s="2"/>
      <c r="F55" s="2"/>
    </row>
    <row r="56" spans="1:6">
      <c r="A56" s="4"/>
      <c r="B56" s="2"/>
      <c r="C56" s="2"/>
      <c r="D56" s="2"/>
      <c r="E56" s="2"/>
      <c r="F56" s="2"/>
    </row>
    <row r="57" spans="1:6">
      <c r="A57" s="4"/>
      <c r="B57" s="2"/>
      <c r="C57" s="2"/>
      <c r="D57" s="2"/>
      <c r="E57" s="2"/>
      <c r="F57" s="2"/>
    </row>
    <row r="58" spans="1:6">
      <c r="A58" s="4"/>
      <c r="B58" s="2"/>
      <c r="C58" s="2"/>
      <c r="D58" s="2"/>
      <c r="E58" s="2"/>
      <c r="F58" s="2"/>
    </row>
    <row r="59" spans="1:6">
      <c r="A59" s="4"/>
      <c r="B59" s="2"/>
      <c r="C59" s="2"/>
      <c r="D59" s="2"/>
      <c r="E59" s="2"/>
      <c r="F59" s="2"/>
    </row>
    <row r="60" spans="1:6">
      <c r="A60" s="4"/>
      <c r="B60" s="2"/>
      <c r="C60" s="2"/>
      <c r="D60" s="2"/>
      <c r="E60" s="2"/>
      <c r="F60" s="2"/>
    </row>
    <row r="61" spans="1:6">
      <c r="A61" s="4"/>
      <c r="B61" s="2"/>
      <c r="C61" s="2"/>
      <c r="D61" s="2"/>
      <c r="E61" s="2"/>
      <c r="F61" s="2"/>
    </row>
    <row r="62" spans="1:6">
      <c r="A62" s="4"/>
      <c r="B62" s="2"/>
      <c r="C62" s="2"/>
      <c r="D62" s="2"/>
      <c r="E62" s="2"/>
      <c r="F62" s="2"/>
    </row>
    <row r="63" spans="1:6">
      <c r="A63" s="4"/>
      <c r="B63" s="2"/>
      <c r="C63" s="2"/>
      <c r="D63" s="2"/>
      <c r="E63" s="2"/>
      <c r="F63" s="2"/>
    </row>
    <row r="64" spans="1:6">
      <c r="A64" s="4"/>
      <c r="B64" s="2"/>
      <c r="C64" s="2"/>
      <c r="D64" s="2"/>
      <c r="E64" s="2"/>
      <c r="F64" s="2"/>
    </row>
    <row r="65" spans="1:6">
      <c r="A65" s="4"/>
      <c r="B65" s="2"/>
      <c r="C65" s="2"/>
      <c r="D65" s="2"/>
      <c r="E65" s="2"/>
      <c r="F65" s="2"/>
    </row>
    <row r="66" spans="1:6">
      <c r="A66" s="4"/>
      <c r="B66" s="2"/>
      <c r="C66" s="2"/>
      <c r="D66" s="2"/>
      <c r="E66" s="2"/>
      <c r="F66" s="2"/>
    </row>
    <row r="67" spans="1:6">
      <c r="A67" s="4"/>
      <c r="B67" s="2"/>
      <c r="C67" s="2"/>
      <c r="D67" s="2"/>
      <c r="E67" s="2"/>
      <c r="F67" s="2"/>
    </row>
    <row r="68" spans="1:6">
      <c r="A68" s="4"/>
      <c r="B68" s="2"/>
      <c r="C68" s="2"/>
      <c r="D68" s="2"/>
      <c r="E68" s="2"/>
      <c r="F68" s="2"/>
    </row>
    <row r="69" spans="1:6">
      <c r="A69" s="4"/>
      <c r="B69" s="2"/>
      <c r="C69" s="2"/>
      <c r="D69" s="2"/>
      <c r="E69" s="2"/>
      <c r="F69" s="2"/>
    </row>
    <row r="70" spans="1:6">
      <c r="A70" s="4"/>
      <c r="B70" s="2"/>
      <c r="C70" s="2"/>
      <c r="D70" s="2"/>
      <c r="E70" s="2"/>
      <c r="F70" s="2"/>
    </row>
    <row r="71" spans="1:6">
      <c r="A71" s="4"/>
      <c r="B71" s="2"/>
      <c r="C71" s="2"/>
      <c r="D71" s="2"/>
      <c r="E71" s="2"/>
      <c r="F71" s="2"/>
    </row>
    <row r="72" spans="1:6">
      <c r="A72" s="4"/>
      <c r="B72" s="2"/>
      <c r="C72" s="2"/>
      <c r="D72" s="2"/>
      <c r="E72" s="2"/>
      <c r="F72" s="2"/>
    </row>
    <row r="73" spans="1:6">
      <c r="A73" s="4"/>
      <c r="B73" s="2"/>
      <c r="C73" s="2"/>
      <c r="D73" s="2"/>
      <c r="E73" s="2"/>
      <c r="F73" s="2"/>
    </row>
    <row r="74" spans="1:6">
      <c r="A74" s="4"/>
      <c r="B74" s="2"/>
      <c r="C74" s="2"/>
      <c r="D74" s="2"/>
      <c r="E74" s="2"/>
      <c r="F74" s="2"/>
    </row>
    <row r="75" spans="1:6">
      <c r="A75" s="4"/>
      <c r="B75" s="2"/>
      <c r="C75" s="2"/>
      <c r="D75" s="2"/>
      <c r="E75" s="2"/>
      <c r="F75" s="2"/>
    </row>
    <row r="76" spans="1:6">
      <c r="A76" s="4"/>
      <c r="B76" s="2"/>
      <c r="C76" s="2"/>
      <c r="D76" s="2"/>
      <c r="E76" s="2"/>
      <c r="F76" s="2"/>
    </row>
    <row r="77" spans="1:6">
      <c r="A77" s="4"/>
      <c r="B77" s="2"/>
      <c r="C77" s="2"/>
      <c r="D77" s="2"/>
      <c r="E77" s="2"/>
      <c r="F77" s="2"/>
    </row>
    <row r="78" spans="1:6">
      <c r="A78" s="4"/>
      <c r="B78" s="2"/>
      <c r="C78" s="2"/>
      <c r="D78" s="2"/>
      <c r="E78" s="2"/>
      <c r="F78" s="2"/>
    </row>
    <row r="79" spans="1:6">
      <c r="A79" s="4"/>
      <c r="B79" s="2"/>
      <c r="C79" s="2"/>
      <c r="D79" s="2"/>
      <c r="E79" s="2"/>
      <c r="F79" s="2"/>
    </row>
    <row r="80" spans="1:6">
      <c r="A80" s="4"/>
      <c r="B80" s="2"/>
      <c r="C80" s="2"/>
      <c r="D80" s="2"/>
      <c r="E80" s="2"/>
      <c r="F80" s="2"/>
    </row>
    <row r="81" spans="1:6">
      <c r="A81" s="4"/>
      <c r="B81" s="2"/>
      <c r="C81" s="2"/>
      <c r="D81" s="2"/>
      <c r="E81" s="2"/>
      <c r="F81" s="2"/>
    </row>
    <row r="82" spans="1:6">
      <c r="A82" s="4"/>
      <c r="B82" s="2"/>
      <c r="C82" s="2"/>
      <c r="D82" s="2"/>
      <c r="E82" s="2"/>
      <c r="F82" s="2"/>
    </row>
    <row r="83" spans="1:6">
      <c r="A83" s="4"/>
      <c r="B83" s="2"/>
      <c r="C83" s="2"/>
      <c r="D83" s="2"/>
      <c r="E83" s="2"/>
      <c r="F83" s="2"/>
    </row>
    <row r="84" spans="1:6">
      <c r="A84" s="4"/>
      <c r="B84" s="2"/>
      <c r="C84" s="2"/>
      <c r="D84" s="2"/>
      <c r="E84" s="2"/>
      <c r="F84" s="2"/>
    </row>
    <row r="85" spans="1:6">
      <c r="A85" s="4"/>
      <c r="B85" s="2"/>
      <c r="C85" s="2"/>
      <c r="D85" s="2"/>
      <c r="E85" s="2"/>
      <c r="F85" s="2"/>
    </row>
    <row r="86" spans="1:6">
      <c r="A86" s="4"/>
      <c r="B86" s="2"/>
      <c r="C86" s="2"/>
      <c r="D86" s="2"/>
      <c r="E86" s="2"/>
      <c r="F86" s="2"/>
    </row>
    <row r="87" spans="1:6">
      <c r="A87" s="4"/>
      <c r="B87" s="2"/>
      <c r="C87" s="2"/>
      <c r="D87" s="2"/>
      <c r="E87" s="2"/>
      <c r="F87" s="2"/>
    </row>
    <row r="88" spans="1:6">
      <c r="A88" s="4"/>
      <c r="B88" s="2"/>
      <c r="C88" s="2"/>
      <c r="D88" s="2"/>
      <c r="E88" s="2"/>
      <c r="F88" s="2"/>
    </row>
    <row r="89" spans="1:6">
      <c r="A89" s="4"/>
      <c r="B89" s="2"/>
      <c r="C89" s="2"/>
      <c r="D89" s="2"/>
      <c r="E89" s="2"/>
      <c r="F89" s="2"/>
    </row>
    <row r="90" spans="1:6">
      <c r="A90" s="4"/>
      <c r="B90" s="2"/>
      <c r="C90" s="2"/>
      <c r="D90" s="2"/>
      <c r="E90" s="2"/>
      <c r="F90" s="2"/>
    </row>
    <row r="91" spans="1:6">
      <c r="A91" s="4"/>
      <c r="B91" s="2"/>
      <c r="C91" s="2"/>
      <c r="D91" s="2"/>
      <c r="E91" s="2"/>
      <c r="F91" s="2"/>
    </row>
    <row r="92" spans="1:6">
      <c r="A92" s="4"/>
      <c r="B92" s="2"/>
      <c r="C92" s="2"/>
      <c r="D92" s="2"/>
      <c r="E92" s="2"/>
      <c r="F92" s="2"/>
    </row>
    <row r="93" spans="1:6">
      <c r="A93" s="4"/>
      <c r="B93" s="2"/>
      <c r="C93" s="2"/>
      <c r="D93" s="2"/>
      <c r="E93" s="2"/>
      <c r="F93" s="2"/>
    </row>
    <row r="94" spans="1:6">
      <c r="A94" s="4"/>
      <c r="B94" s="2"/>
      <c r="C94" s="2"/>
      <c r="D94" s="2"/>
      <c r="E94" s="2"/>
      <c r="F94" s="2"/>
    </row>
    <row r="95" spans="1:6">
      <c r="A95" s="4"/>
      <c r="B95" s="2"/>
      <c r="C95" s="2"/>
      <c r="D95" s="2"/>
      <c r="E95" s="2"/>
      <c r="F95" s="2"/>
    </row>
    <row r="96" spans="1:6">
      <c r="A96" s="4"/>
      <c r="B96" s="2"/>
      <c r="C96" s="2"/>
      <c r="D96" s="2"/>
      <c r="E96" s="2"/>
      <c r="F96" s="2"/>
    </row>
    <row r="97" spans="1:6">
      <c r="A97" s="4"/>
      <c r="B97" s="2"/>
      <c r="C97" s="2"/>
      <c r="D97" s="2"/>
      <c r="E97" s="2"/>
      <c r="F97" s="2"/>
    </row>
    <row r="98" spans="1:6">
      <c r="A98" s="4"/>
      <c r="B98" s="2"/>
      <c r="C98" s="2"/>
      <c r="D98" s="2"/>
      <c r="E98" s="2"/>
      <c r="F98" s="2"/>
    </row>
    <row r="99" spans="1:6">
      <c r="A99" s="4"/>
      <c r="B99" s="2"/>
      <c r="C99" s="2"/>
      <c r="D99" s="2"/>
      <c r="E99" s="2"/>
      <c r="F99" s="2"/>
    </row>
    <row r="100" spans="1:6">
      <c r="A100" s="4"/>
      <c r="B100" s="2"/>
      <c r="C100" s="2"/>
      <c r="D100" s="2"/>
      <c r="E100" s="2"/>
      <c r="F100" s="2"/>
    </row>
    <row r="101" spans="1:6">
      <c r="A101" s="4"/>
      <c r="B101" s="2"/>
      <c r="C101" s="2"/>
      <c r="D101" s="2"/>
      <c r="E101" s="2"/>
      <c r="F101" s="2"/>
    </row>
    <row r="102" spans="1:6">
      <c r="A102" s="4"/>
      <c r="B102" s="2"/>
      <c r="C102" s="2"/>
      <c r="D102" s="2"/>
      <c r="E102" s="2"/>
      <c r="F102" s="2"/>
    </row>
    <row r="103" spans="1:6">
      <c r="A103" s="4"/>
      <c r="B103" s="2"/>
      <c r="C103" s="2"/>
      <c r="D103" s="2"/>
      <c r="E103" s="2"/>
      <c r="F103" s="2"/>
    </row>
    <row r="104" spans="1:6">
      <c r="A104" s="4"/>
      <c r="B104" s="2"/>
      <c r="C104" s="2"/>
      <c r="D104" s="2"/>
      <c r="E104" s="2"/>
      <c r="F104" s="2"/>
    </row>
    <row r="105" spans="1:6">
      <c r="A105" s="4"/>
      <c r="B105" s="2"/>
      <c r="C105" s="2"/>
      <c r="D105" s="2"/>
      <c r="E105" s="2"/>
      <c r="F105" s="2"/>
    </row>
    <row r="106" spans="1:6">
      <c r="A106" s="4"/>
      <c r="B106" s="2"/>
      <c r="C106" s="2"/>
      <c r="D106" s="2"/>
      <c r="E106" s="2"/>
      <c r="F106" s="2"/>
    </row>
    <row r="107" spans="1:6">
      <c r="A107" s="4"/>
      <c r="B107" s="2"/>
      <c r="C107" s="2"/>
      <c r="D107" s="2"/>
      <c r="E107" s="2"/>
      <c r="F107" s="2"/>
    </row>
    <row r="108" spans="1:6">
      <c r="A108" s="4"/>
      <c r="B108" s="2"/>
      <c r="C108" s="2"/>
      <c r="D108" s="2"/>
      <c r="E108" s="2"/>
      <c r="F108" s="2"/>
    </row>
    <row r="109" spans="1:6">
      <c r="A109" s="4"/>
      <c r="B109" s="2"/>
      <c r="C109" s="2"/>
      <c r="D109" s="2"/>
      <c r="E109" s="2"/>
      <c r="F109" s="2"/>
    </row>
    <row r="110" spans="1:6">
      <c r="A110" s="4"/>
      <c r="B110" s="2"/>
      <c r="C110" s="2"/>
      <c r="D110" s="2"/>
      <c r="E110" s="2"/>
      <c r="F110" s="2"/>
    </row>
    <row r="111" spans="1:6">
      <c r="A111" s="4"/>
      <c r="B111" s="2"/>
      <c r="C111" s="2"/>
      <c r="D111" s="2"/>
      <c r="E111" s="2"/>
      <c r="F111" s="2"/>
    </row>
    <row r="112" spans="1:6">
      <c r="A112" s="4"/>
      <c r="B112" s="2"/>
      <c r="C112" s="2"/>
      <c r="D112" s="2"/>
      <c r="E112" s="2"/>
      <c r="F112" s="2"/>
    </row>
    <row r="113" spans="1:6">
      <c r="A113" s="4"/>
      <c r="B113" s="2"/>
      <c r="C113" s="2"/>
      <c r="D113" s="2"/>
      <c r="E113" s="2"/>
      <c r="F113" s="2"/>
    </row>
    <row r="114" spans="1:6">
      <c r="A114" s="4"/>
      <c r="B114" s="2"/>
      <c r="C114" s="2"/>
      <c r="D114" s="2"/>
      <c r="E114" s="2"/>
      <c r="F114" s="2"/>
    </row>
    <row r="115" spans="1:6">
      <c r="A115" s="4"/>
      <c r="B115" s="2"/>
      <c r="C115" s="2"/>
      <c r="D115" s="2"/>
      <c r="E115" s="2"/>
      <c r="F115" s="2"/>
    </row>
    <row r="116" spans="1:6">
      <c r="A116" s="4"/>
      <c r="B116" s="2"/>
      <c r="C116" s="2"/>
      <c r="D116" s="2"/>
      <c r="E116" s="2"/>
      <c r="F116" s="2"/>
    </row>
    <row r="117" spans="1:6">
      <c r="A117" s="4"/>
      <c r="B117" s="2"/>
      <c r="C117" s="2"/>
      <c r="D117" s="2"/>
      <c r="E117" s="2"/>
      <c r="F117" s="2"/>
    </row>
    <row r="118" spans="1:6">
      <c r="A118" s="4"/>
      <c r="B118" s="2"/>
      <c r="C118" s="2"/>
      <c r="D118" s="2"/>
      <c r="E118" s="2"/>
      <c r="F118" s="2"/>
    </row>
    <row r="119" spans="1:6">
      <c r="A119" s="4"/>
      <c r="B119" s="2"/>
      <c r="C119" s="2"/>
      <c r="D119" s="2"/>
      <c r="E119" s="2"/>
      <c r="F119" s="2"/>
    </row>
    <row r="120" spans="1:6">
      <c r="A120" s="4"/>
      <c r="B120" s="2"/>
      <c r="C120" s="2"/>
      <c r="D120" s="2"/>
      <c r="E120" s="2"/>
      <c r="F120" s="2"/>
    </row>
    <row r="121" spans="1:6">
      <c r="A121" s="4"/>
      <c r="B121" s="2"/>
      <c r="C121" s="2"/>
      <c r="D121" s="2"/>
      <c r="E121" s="2"/>
      <c r="F121" s="2"/>
    </row>
    <row r="122" spans="1:6">
      <c r="A122" s="4"/>
      <c r="B122" s="2"/>
      <c r="C122" s="2"/>
      <c r="D122" s="2"/>
      <c r="E122" s="2"/>
      <c r="F122" s="2"/>
    </row>
    <row r="123" spans="1:6">
      <c r="A123" s="4"/>
      <c r="B123" s="2"/>
      <c r="C123" s="2"/>
      <c r="D123" s="2"/>
      <c r="E123" s="2"/>
      <c r="F123" s="2"/>
    </row>
    <row r="124" spans="1:6">
      <c r="A124" s="4"/>
      <c r="B124" s="2"/>
      <c r="C124" s="2"/>
      <c r="D124" s="2"/>
      <c r="E124" s="2"/>
      <c r="F124" s="2"/>
    </row>
    <row r="125" spans="1:6">
      <c r="A125" s="4"/>
      <c r="B125" s="2"/>
      <c r="C125" s="2"/>
      <c r="D125" s="2"/>
      <c r="E125" s="2"/>
      <c r="F125" s="2"/>
    </row>
    <row r="126" spans="1:6">
      <c r="A126" s="4"/>
      <c r="B126" s="2"/>
      <c r="C126" s="2"/>
      <c r="D126" s="2"/>
      <c r="E126" s="2"/>
      <c r="F126" s="2"/>
    </row>
    <row r="127" spans="1:6">
      <c r="A127" s="4"/>
      <c r="B127" s="2"/>
      <c r="C127" s="2"/>
      <c r="D127" s="2"/>
      <c r="E127" s="2"/>
      <c r="F127" s="2"/>
    </row>
    <row r="128" spans="1:6">
      <c r="A128" s="4"/>
      <c r="B128" s="2"/>
      <c r="C128" s="2"/>
      <c r="D128" s="2"/>
      <c r="E128" s="2"/>
      <c r="F128" s="2"/>
    </row>
    <row r="129" spans="1:6">
      <c r="A129" s="4"/>
      <c r="B129" s="2"/>
      <c r="C129" s="2"/>
      <c r="D129" s="2"/>
      <c r="E129" s="2"/>
      <c r="F129" s="2"/>
    </row>
    <row r="130" spans="1:6">
      <c r="A130" s="4"/>
      <c r="B130" s="2"/>
      <c r="C130" s="2"/>
      <c r="D130" s="2"/>
      <c r="E130" s="2"/>
      <c r="F130" s="2"/>
    </row>
    <row r="131" spans="1:6">
      <c r="A131" s="4"/>
      <c r="B131" s="2"/>
      <c r="C131" s="2"/>
      <c r="D131" s="2"/>
      <c r="E131" s="2"/>
      <c r="F131" s="2"/>
    </row>
    <row r="132" spans="1:6">
      <c r="A132" s="4"/>
      <c r="B132" s="2"/>
      <c r="C132" s="2"/>
      <c r="D132" s="2"/>
      <c r="E132" s="2"/>
      <c r="F132" s="2"/>
    </row>
    <row r="133" spans="1:6">
      <c r="A133" s="4"/>
      <c r="B133" s="2"/>
      <c r="C133" s="2"/>
      <c r="D133" s="2"/>
      <c r="E133" s="2"/>
      <c r="F133" s="2"/>
    </row>
    <row r="134" spans="1:6">
      <c r="A134" s="4"/>
      <c r="B134" s="2"/>
      <c r="C134" s="2"/>
      <c r="D134" s="2"/>
      <c r="E134" s="2"/>
      <c r="F134" s="2"/>
    </row>
    <row r="135" spans="1:6">
      <c r="A135" s="4"/>
      <c r="B135" s="2"/>
      <c r="C135" s="2"/>
      <c r="D135" s="2"/>
      <c r="E135" s="2"/>
      <c r="F135" s="2"/>
    </row>
    <row r="136" spans="1:6">
      <c r="A136" s="4"/>
      <c r="B136" s="2"/>
      <c r="C136" s="2"/>
      <c r="D136" s="2"/>
      <c r="E136" s="2"/>
      <c r="F136" s="2"/>
    </row>
    <row r="137" spans="1:6">
      <c r="A137" s="4"/>
      <c r="B137" s="2"/>
      <c r="C137" s="2"/>
      <c r="D137" s="2"/>
      <c r="E137" s="2"/>
      <c r="F137" s="2"/>
    </row>
    <row r="138" spans="1:6">
      <c r="A138" s="4"/>
      <c r="B138" s="2"/>
      <c r="C138" s="2"/>
      <c r="D138" s="2"/>
      <c r="E138" s="2"/>
      <c r="F138" s="2"/>
    </row>
    <row r="139" spans="1:6">
      <c r="A139" s="4"/>
      <c r="B139" s="2"/>
      <c r="C139" s="2"/>
      <c r="D139" s="2"/>
      <c r="E139" s="2"/>
      <c r="F139" s="2"/>
    </row>
    <row r="140" spans="1:6">
      <c r="A140" s="4"/>
      <c r="B140" s="2"/>
      <c r="C140" s="2"/>
      <c r="D140" s="2"/>
      <c r="E140" s="2"/>
      <c r="F140" s="2"/>
    </row>
    <row r="141" spans="1:6">
      <c r="A141" s="4"/>
      <c r="B141" s="2"/>
      <c r="C141" s="2"/>
      <c r="D141" s="2"/>
      <c r="E141" s="2"/>
      <c r="F141" s="2"/>
    </row>
    <row r="142" spans="1:6">
      <c r="A142" s="4"/>
      <c r="B142" s="2"/>
      <c r="C142" s="2"/>
      <c r="D142" s="2"/>
      <c r="E142" s="2"/>
      <c r="F142" s="2"/>
    </row>
    <row r="143" spans="1:6">
      <c r="A143" s="4"/>
      <c r="B143" s="2"/>
      <c r="C143" s="2"/>
      <c r="D143" s="2"/>
      <c r="E143" s="2"/>
      <c r="F143" s="2"/>
    </row>
    <row r="144" spans="1:6">
      <c r="A144" s="4"/>
      <c r="B144" s="2"/>
      <c r="C144" s="2"/>
      <c r="D144" s="2"/>
      <c r="E144" s="2"/>
      <c r="F144" s="2"/>
    </row>
    <row r="145" spans="1:6">
      <c r="A145" s="4"/>
      <c r="B145" s="2"/>
      <c r="C145" s="2"/>
      <c r="D145" s="2"/>
      <c r="E145" s="2"/>
      <c r="F145" s="2"/>
    </row>
    <row r="146" spans="1:6">
      <c r="A146" s="4"/>
      <c r="B146" s="2"/>
      <c r="C146" s="2"/>
      <c r="D146" s="2"/>
      <c r="E146" s="2"/>
      <c r="F146" s="2"/>
    </row>
    <row r="147" spans="1:6">
      <c r="A147" s="4"/>
      <c r="B147" s="2"/>
      <c r="C147" s="2"/>
      <c r="D147" s="2"/>
      <c r="E147" s="2"/>
      <c r="F147" s="2"/>
    </row>
    <row r="148" spans="1:6">
      <c r="A148" s="4"/>
      <c r="B148" s="2"/>
      <c r="C148" s="2"/>
      <c r="D148" s="2"/>
      <c r="E148" s="2"/>
      <c r="F148" s="2"/>
    </row>
    <row r="149" spans="1:6">
      <c r="A149" s="4"/>
      <c r="B149" s="2"/>
      <c r="C149" s="2"/>
      <c r="D149" s="2"/>
      <c r="E149" s="2"/>
      <c r="F149" s="2"/>
    </row>
    <row r="150" spans="1:6">
      <c r="A150" s="4"/>
      <c r="B150" s="2"/>
      <c r="C150" s="2"/>
      <c r="D150" s="2"/>
      <c r="E150" s="2"/>
      <c r="F150" s="2"/>
    </row>
    <row r="151" spans="1:6">
      <c r="A151" s="4"/>
      <c r="B151" s="2"/>
      <c r="C151" s="2"/>
      <c r="D151" s="2"/>
      <c r="E151" s="2"/>
      <c r="F151" s="2"/>
    </row>
    <row r="152" spans="1:6">
      <c r="A152" s="4"/>
      <c r="B152" s="2"/>
      <c r="C152" s="2"/>
      <c r="D152" s="2"/>
      <c r="E152" s="2"/>
      <c r="F152" s="2"/>
    </row>
    <row r="153" spans="1:6">
      <c r="A153" s="4"/>
      <c r="B153" s="2"/>
      <c r="C153" s="2"/>
      <c r="D153" s="2"/>
      <c r="E153" s="2"/>
      <c r="F153" s="2"/>
    </row>
    <row r="154" spans="1:6">
      <c r="A154" s="4"/>
      <c r="B154" s="2"/>
      <c r="C154" s="2"/>
      <c r="D154" s="2"/>
      <c r="E154" s="2"/>
      <c r="F154" s="2"/>
    </row>
    <row r="155" spans="1:6">
      <c r="A155" s="4"/>
      <c r="B155" s="2"/>
      <c r="C155" s="2"/>
      <c r="D155" s="2"/>
      <c r="E155" s="2"/>
      <c r="F155" s="2"/>
    </row>
    <row r="156" spans="1:6">
      <c r="A156" s="4"/>
      <c r="B156" s="2"/>
      <c r="C156" s="2"/>
      <c r="D156" s="2"/>
      <c r="E156" s="2"/>
      <c r="F156" s="2"/>
    </row>
    <row r="157" spans="1:6">
      <c r="A157" s="4"/>
      <c r="B157" s="2"/>
      <c r="C157" s="2"/>
      <c r="D157" s="2"/>
      <c r="E157" s="2"/>
      <c r="F157" s="2"/>
    </row>
    <row r="158" spans="1:6">
      <c r="A158" s="4"/>
      <c r="B158" s="2"/>
      <c r="C158" s="2"/>
      <c r="D158" s="2"/>
      <c r="E158" s="2"/>
      <c r="F158" s="2"/>
    </row>
    <row r="159" spans="1:6">
      <c r="A159" s="4"/>
      <c r="B159" s="2"/>
      <c r="C159" s="2"/>
      <c r="D159" s="2"/>
      <c r="E159" s="2"/>
      <c r="F159" s="2"/>
    </row>
    <row r="161" spans="1:1">
      <c r="A161" s="7" t="s">
        <v>1</v>
      </c>
    </row>
  </sheetData>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58"/>
  <sheetViews>
    <sheetView zoomScale="60" zoomScaleNormal="60" workbookViewId="0">
      <selection activeCell="D5" sqref="D5:D11"/>
    </sheetView>
  </sheetViews>
  <sheetFormatPr baseColWidth="10" defaultColWidth="8.6640625" defaultRowHeight="15"/>
  <cols>
    <col min="1" max="1" width="26" customWidth="1"/>
    <col min="2" max="2" width="13.6640625" customWidth="1"/>
    <col min="3" max="3" width="12.33203125" bestFit="1" customWidth="1"/>
    <col min="4" max="4" width="12.33203125" style="20" customWidth="1"/>
    <col min="5" max="5" width="12.33203125" bestFit="1" customWidth="1"/>
    <col min="6" max="6" width="16.1640625" bestFit="1" customWidth="1"/>
    <col min="19" max="19" width="8.6640625" style="20"/>
  </cols>
  <sheetData>
    <row r="1" spans="1:29">
      <c r="A1" s="49" t="s">
        <v>2</v>
      </c>
      <c r="B1" s="8"/>
      <c r="C1" s="8"/>
      <c r="D1" s="8"/>
      <c r="E1" s="3"/>
      <c r="F1" s="3"/>
    </row>
    <row r="2" spans="1:29">
      <c r="A2" s="10" t="s">
        <v>3</v>
      </c>
      <c r="B2" s="9"/>
      <c r="C2" s="9"/>
      <c r="D2" s="9"/>
      <c r="E2" s="1"/>
      <c r="F2" s="1"/>
    </row>
    <row r="3" spans="1:29">
      <c r="A3" s="4"/>
      <c r="B3" s="2"/>
      <c r="C3" s="2"/>
      <c r="D3" s="2"/>
      <c r="E3" s="2"/>
      <c r="F3" s="2"/>
    </row>
    <row r="4" spans="1:29" ht="85" thickBot="1">
      <c r="A4" s="18"/>
      <c r="B4" s="22" t="str">
        <f>Table_4.0_Information!$A$4</f>
        <v>Colorado</v>
      </c>
      <c r="C4" s="22" t="str">
        <f>Table_4.0_Information!$A$5</f>
        <v>Kentucky</v>
      </c>
      <c r="D4" s="22" t="s">
        <v>337</v>
      </c>
      <c r="E4" s="22" t="str">
        <f>Table_4.0_Information!$A$6</f>
        <v>New Mexico</v>
      </c>
      <c r="F4" s="22" t="s">
        <v>338</v>
      </c>
      <c r="G4" s="22" t="str">
        <f>Table_4.0_Information!$A$8</f>
        <v>5 add state in table 0</v>
      </c>
      <c r="H4" s="22" t="str">
        <f>Table_4.0_Information!$A$9</f>
        <v>6 add state in table 0</v>
      </c>
      <c r="I4" s="22" t="str">
        <f>Table_4.0_Information!$A$10</f>
        <v>7 add state in table 0</v>
      </c>
      <c r="J4" s="22" t="str">
        <f>Table_4.0_Information!$A$11</f>
        <v>8 add state in table 0</v>
      </c>
      <c r="K4" s="22" t="str">
        <f>Table_4.0_Information!$A$12</f>
        <v>9 add state in table 0</v>
      </c>
      <c r="L4" s="22" t="str">
        <f>Table_4.0_Information!$A$13</f>
        <v>10 add state in table 0</v>
      </c>
      <c r="M4" s="22" t="str">
        <f>Table_4.0_Information!$A$14</f>
        <v>11 add state in table 0</v>
      </c>
      <c r="N4" s="22" t="str">
        <f>Table_4.0_Information!$A$15</f>
        <v>12 add state in table 0</v>
      </c>
      <c r="O4" s="20"/>
      <c r="P4" s="18" t="s">
        <v>62</v>
      </c>
      <c r="Q4" s="22" t="str">
        <f>Table_4.0_Information!$A$4</f>
        <v>Colorado</v>
      </c>
      <c r="R4" s="22" t="str">
        <f>Table_4.0_Information!$A$5</f>
        <v>Kentucky</v>
      </c>
      <c r="S4" s="22" t="s">
        <v>337</v>
      </c>
      <c r="T4" s="22" t="str">
        <f>Table_4.0_Information!$A$6</f>
        <v>New Mexico</v>
      </c>
      <c r="U4" s="22" t="s">
        <v>338</v>
      </c>
      <c r="V4" s="22" t="str">
        <f>Table_4.0_Information!$A$8</f>
        <v>5 add state in table 0</v>
      </c>
      <c r="W4" s="22" t="str">
        <f>Table_4.0_Information!$A$9</f>
        <v>6 add state in table 0</v>
      </c>
      <c r="X4" s="22" t="str">
        <f>Table_4.0_Information!$A$10</f>
        <v>7 add state in table 0</v>
      </c>
      <c r="Y4" s="22" t="str">
        <f>Table_4.0_Information!$A$11</f>
        <v>8 add state in table 0</v>
      </c>
      <c r="Z4" s="22" t="str">
        <f>Table_4.0_Information!$A$12</f>
        <v>9 add state in table 0</v>
      </c>
      <c r="AA4" s="22" t="str">
        <f>Table_4.0_Information!$A$13</f>
        <v>10 add state in table 0</v>
      </c>
      <c r="AB4" s="22" t="str">
        <f>Table_4.0_Information!$A$14</f>
        <v>11 add state in table 0</v>
      </c>
      <c r="AC4" s="22" t="str">
        <f>Table_4.0_Information!$A$15</f>
        <v>12 add state in table 0</v>
      </c>
    </row>
    <row r="5" spans="1:29" ht="17" thickTop="1" thickBot="1">
      <c r="A5" s="14" t="s">
        <v>38</v>
      </c>
      <c r="B5" s="68">
        <v>4160</v>
      </c>
      <c r="C5" s="67">
        <v>25413</v>
      </c>
      <c r="D5" s="209">
        <v>5512</v>
      </c>
      <c r="E5" s="24">
        <v>2364</v>
      </c>
      <c r="F5" s="68">
        <v>9671</v>
      </c>
      <c r="G5" s="24"/>
      <c r="H5" s="26"/>
      <c r="I5" s="24"/>
      <c r="J5" s="26"/>
      <c r="K5" s="26"/>
      <c r="L5" s="26"/>
      <c r="M5" s="26"/>
      <c r="N5" s="26"/>
      <c r="O5" s="20"/>
      <c r="P5" s="20" t="s">
        <v>38</v>
      </c>
      <c r="Q5" s="39">
        <f>B5/B$11</f>
        <v>0.43010752688172044</v>
      </c>
      <c r="R5" s="39">
        <f>C5/C$11</f>
        <v>0.66557540202189514</v>
      </c>
      <c r="S5" s="39">
        <f t="shared" ref="S5:AC5" si="0">D5/D$11</f>
        <v>0.48821966341895484</v>
      </c>
      <c r="T5" s="39">
        <f t="shared" si="0"/>
        <v>0.52545010002222714</v>
      </c>
      <c r="U5" s="39">
        <f t="shared" si="0"/>
        <v>0.49284003465321308</v>
      </c>
      <c r="V5" s="39" t="e">
        <f t="shared" si="0"/>
        <v>#DIV/0!</v>
      </c>
      <c r="W5" s="39" t="e">
        <f t="shared" si="0"/>
        <v>#DIV/0!</v>
      </c>
      <c r="X5" s="39" t="e">
        <f t="shared" si="0"/>
        <v>#DIV/0!</v>
      </c>
      <c r="Y5" s="39" t="e">
        <f t="shared" si="0"/>
        <v>#DIV/0!</v>
      </c>
      <c r="Z5" s="39" t="e">
        <f t="shared" si="0"/>
        <v>#DIV/0!</v>
      </c>
      <c r="AA5" s="39" t="e">
        <f t="shared" si="0"/>
        <v>#DIV/0!</v>
      </c>
      <c r="AB5" s="39" t="e">
        <f t="shared" si="0"/>
        <v>#DIV/0!</v>
      </c>
      <c r="AC5" s="39" t="e">
        <f t="shared" si="0"/>
        <v>#DIV/0!</v>
      </c>
    </row>
    <row r="6" spans="1:29" ht="16" thickBot="1">
      <c r="A6" s="15" t="s">
        <v>42</v>
      </c>
      <c r="B6" s="68">
        <v>2660</v>
      </c>
      <c r="C6" s="67">
        <v>5358</v>
      </c>
      <c r="D6" s="209">
        <v>2265</v>
      </c>
      <c r="E6" s="24">
        <v>1185</v>
      </c>
      <c r="F6" s="68">
        <v>4465</v>
      </c>
      <c r="G6" s="24"/>
      <c r="H6" s="26"/>
      <c r="I6" s="24"/>
      <c r="J6" s="26"/>
      <c r="K6" s="26"/>
      <c r="L6" s="26"/>
      <c r="M6" s="26"/>
      <c r="N6" s="26"/>
      <c r="O6" s="20"/>
      <c r="P6" s="20" t="s">
        <v>42</v>
      </c>
      <c r="Q6" s="39">
        <f t="shared" ref="Q6:Q10" si="1">B6/B$11</f>
        <v>0.27502067824648468</v>
      </c>
      <c r="R6" s="39">
        <f t="shared" ref="R6:R10" si="2">C6/C$11</f>
        <v>0.14032790320046096</v>
      </c>
      <c r="S6" s="39">
        <f t="shared" ref="S6:U10" si="3">D6/D$11</f>
        <v>0.20062001771479185</v>
      </c>
      <c r="T6" s="39">
        <f t="shared" ref="T6:T10" si="4">E6/E$11</f>
        <v>0.26339186485885752</v>
      </c>
      <c r="U6" s="39">
        <f t="shared" si="3"/>
        <v>0.2275391122662182</v>
      </c>
      <c r="V6" s="39" t="e">
        <f t="shared" ref="V6:V10" si="5">G6/G$11</f>
        <v>#DIV/0!</v>
      </c>
      <c r="W6" s="39" t="e">
        <f t="shared" ref="W6:W10" si="6">H6/H$11</f>
        <v>#DIV/0!</v>
      </c>
      <c r="X6" s="39" t="e">
        <f t="shared" ref="X6:X10" si="7">I6/I$11</f>
        <v>#DIV/0!</v>
      </c>
      <c r="Y6" s="39" t="e">
        <f t="shared" ref="Y6:Y10" si="8">J6/J$11</f>
        <v>#DIV/0!</v>
      </c>
      <c r="Z6" s="39" t="e">
        <f t="shared" ref="Z6:Z10" si="9">K6/K$11</f>
        <v>#DIV/0!</v>
      </c>
      <c r="AA6" s="39" t="e">
        <f t="shared" ref="AA6:AA10" si="10">L6/L$11</f>
        <v>#DIV/0!</v>
      </c>
      <c r="AB6" s="39" t="e">
        <f t="shared" ref="AB6:AB10" si="11">M6/M$11</f>
        <v>#DIV/0!</v>
      </c>
      <c r="AC6" s="39" t="e">
        <f t="shared" ref="AC6:AC10" si="12">N6/N$11</f>
        <v>#DIV/0!</v>
      </c>
    </row>
    <row r="7" spans="1:29" ht="16" thickBot="1">
      <c r="A7" s="15" t="s">
        <v>39</v>
      </c>
      <c r="B7" s="68">
        <v>20</v>
      </c>
      <c r="C7" s="67">
        <v>57</v>
      </c>
      <c r="D7" s="209">
        <v>19</v>
      </c>
      <c r="E7" s="30">
        <v>13</v>
      </c>
      <c r="F7" s="68">
        <v>34</v>
      </c>
      <c r="G7" s="24"/>
      <c r="H7" s="26"/>
      <c r="I7" s="24"/>
      <c r="J7" s="26"/>
      <c r="K7" s="26"/>
      <c r="L7" s="26"/>
      <c r="M7" s="26"/>
      <c r="N7" s="26"/>
      <c r="O7" s="20"/>
      <c r="P7" s="20" t="s">
        <v>39</v>
      </c>
      <c r="Q7" s="39">
        <f t="shared" si="1"/>
        <v>2.0678246484698098E-3</v>
      </c>
      <c r="R7" s="39">
        <f t="shared" si="2"/>
        <v>1.4928500340474569E-3</v>
      </c>
      <c r="S7" s="39">
        <f t="shared" si="3"/>
        <v>1.682905225863596E-3</v>
      </c>
      <c r="T7" s="39">
        <f t="shared" si="4"/>
        <v>2.88953100689042E-3</v>
      </c>
      <c r="U7" s="39">
        <f t="shared" si="3"/>
        <v>1.7326606533149874E-3</v>
      </c>
      <c r="V7" s="39" t="e">
        <f t="shared" si="5"/>
        <v>#DIV/0!</v>
      </c>
      <c r="W7" s="39" t="e">
        <f t="shared" si="6"/>
        <v>#DIV/0!</v>
      </c>
      <c r="X7" s="39" t="e">
        <f t="shared" si="7"/>
        <v>#DIV/0!</v>
      </c>
      <c r="Y7" s="39" t="e">
        <f t="shared" si="8"/>
        <v>#DIV/0!</v>
      </c>
      <c r="Z7" s="39" t="e">
        <f t="shared" si="9"/>
        <v>#DIV/0!</v>
      </c>
      <c r="AA7" s="39" t="e">
        <f t="shared" si="10"/>
        <v>#DIV/0!</v>
      </c>
      <c r="AB7" s="39" t="e">
        <f t="shared" si="11"/>
        <v>#DIV/0!</v>
      </c>
      <c r="AC7" s="39" t="e">
        <f t="shared" si="12"/>
        <v>#DIV/0!</v>
      </c>
    </row>
    <row r="8" spans="1:29" ht="16" thickBot="1">
      <c r="A8" s="15" t="s">
        <v>40</v>
      </c>
      <c r="B8" s="68">
        <v>494</v>
      </c>
      <c r="C8" s="67">
        <v>1131</v>
      </c>
      <c r="D8" s="209">
        <v>378</v>
      </c>
      <c r="E8" s="24">
        <v>177</v>
      </c>
      <c r="F8" s="68">
        <v>552</v>
      </c>
      <c r="G8" s="26"/>
      <c r="H8" s="26"/>
      <c r="I8" s="26"/>
      <c r="J8" s="26"/>
      <c r="K8" s="26"/>
      <c r="L8" s="26"/>
      <c r="M8" s="26"/>
      <c r="N8" s="26"/>
      <c r="O8" s="20"/>
      <c r="P8" s="41" t="s">
        <v>40</v>
      </c>
      <c r="Q8" s="39">
        <f t="shared" si="1"/>
        <v>5.1075268817204304E-2</v>
      </c>
      <c r="R8" s="39">
        <f t="shared" si="2"/>
        <v>2.9621287517678487E-2</v>
      </c>
      <c r="S8" s="39">
        <f t="shared" si="3"/>
        <v>3.3480956598759964E-2</v>
      </c>
      <c r="T8" s="39">
        <f t="shared" si="4"/>
        <v>3.9342076016892644E-2</v>
      </c>
      <c r="U8" s="39">
        <f t="shared" si="3"/>
        <v>2.8130255312643328E-2</v>
      </c>
      <c r="V8" s="39" t="e">
        <f t="shared" si="5"/>
        <v>#DIV/0!</v>
      </c>
      <c r="W8" s="39" t="e">
        <f t="shared" si="6"/>
        <v>#DIV/0!</v>
      </c>
      <c r="X8" s="39" t="e">
        <f t="shared" si="7"/>
        <v>#DIV/0!</v>
      </c>
      <c r="Y8" s="39" t="e">
        <f t="shared" si="8"/>
        <v>#DIV/0!</v>
      </c>
      <c r="Z8" s="39" t="e">
        <f t="shared" si="9"/>
        <v>#DIV/0!</v>
      </c>
      <c r="AA8" s="39" t="e">
        <f t="shared" si="10"/>
        <v>#DIV/0!</v>
      </c>
      <c r="AB8" s="39" t="e">
        <f t="shared" si="11"/>
        <v>#DIV/0!</v>
      </c>
      <c r="AC8" s="39" t="e">
        <f t="shared" si="12"/>
        <v>#DIV/0!</v>
      </c>
    </row>
    <row r="9" spans="1:29" ht="16" thickBot="1">
      <c r="A9" s="15" t="s">
        <v>43</v>
      </c>
      <c r="B9" s="68">
        <v>2323</v>
      </c>
      <c r="C9" s="67">
        <v>6188</v>
      </c>
      <c r="D9" s="209">
        <v>3044</v>
      </c>
      <c r="E9" s="24">
        <v>755</v>
      </c>
      <c r="F9" s="68">
        <v>4846</v>
      </c>
      <c r="G9" s="26"/>
      <c r="H9" s="26"/>
      <c r="I9" s="26"/>
      <c r="J9" s="26"/>
      <c r="K9" s="26"/>
      <c r="L9" s="26"/>
      <c r="M9" s="26"/>
      <c r="N9" s="26"/>
      <c r="O9" s="20"/>
      <c r="P9" s="20" t="s">
        <v>43</v>
      </c>
      <c r="Q9" s="39">
        <f t="shared" si="1"/>
        <v>0.24017783291976841</v>
      </c>
      <c r="R9" s="39">
        <f t="shared" si="2"/>
        <v>0.16206589492430989</v>
      </c>
      <c r="S9" s="39">
        <f t="shared" si="3"/>
        <v>0.26961913197519927</v>
      </c>
      <c r="T9" s="39">
        <f t="shared" si="4"/>
        <v>0.16781507001555901</v>
      </c>
      <c r="U9" s="39">
        <f t="shared" si="3"/>
        <v>0.24695510370483617</v>
      </c>
      <c r="V9" s="39" t="e">
        <f t="shared" si="5"/>
        <v>#DIV/0!</v>
      </c>
      <c r="W9" s="39" t="e">
        <f t="shared" si="6"/>
        <v>#DIV/0!</v>
      </c>
      <c r="X9" s="39" t="e">
        <f t="shared" si="7"/>
        <v>#DIV/0!</v>
      </c>
      <c r="Y9" s="39" t="e">
        <f t="shared" si="8"/>
        <v>#DIV/0!</v>
      </c>
      <c r="Z9" s="39" t="e">
        <f t="shared" si="9"/>
        <v>#DIV/0!</v>
      </c>
      <c r="AA9" s="39" t="e">
        <f t="shared" si="10"/>
        <v>#DIV/0!</v>
      </c>
      <c r="AB9" s="39" t="e">
        <f t="shared" si="11"/>
        <v>#DIV/0!</v>
      </c>
      <c r="AC9" s="39" t="e">
        <f t="shared" si="12"/>
        <v>#DIV/0!</v>
      </c>
    </row>
    <row r="10" spans="1:29">
      <c r="A10" s="15" t="s">
        <v>44</v>
      </c>
      <c r="B10" s="68">
        <v>15</v>
      </c>
      <c r="C10" s="67">
        <v>35</v>
      </c>
      <c r="D10" s="210">
        <v>72</v>
      </c>
      <c r="E10" s="30">
        <v>5</v>
      </c>
      <c r="F10" s="68">
        <v>55</v>
      </c>
      <c r="G10" s="26"/>
      <c r="H10" s="26"/>
      <c r="I10" s="26"/>
      <c r="J10" s="26"/>
      <c r="K10" s="26"/>
      <c r="L10" s="26"/>
      <c r="M10" s="26"/>
      <c r="N10" s="26"/>
      <c r="P10" t="s">
        <v>44</v>
      </c>
      <c r="Q10" s="39">
        <f t="shared" si="1"/>
        <v>1.5508684863523574E-3</v>
      </c>
      <c r="R10" s="39">
        <f t="shared" si="2"/>
        <v>9.1666230160808763E-4</v>
      </c>
      <c r="S10" s="39">
        <f t="shared" si="3"/>
        <v>6.3773250664304693E-3</v>
      </c>
      <c r="T10" s="39">
        <f t="shared" si="4"/>
        <v>1.1113580795732384E-3</v>
      </c>
      <c r="U10" s="39">
        <f t="shared" si="3"/>
        <v>2.8028334097742447E-3</v>
      </c>
      <c r="V10" s="39" t="e">
        <f t="shared" si="5"/>
        <v>#DIV/0!</v>
      </c>
      <c r="W10" s="39" t="e">
        <f t="shared" si="6"/>
        <v>#DIV/0!</v>
      </c>
      <c r="X10" s="39" t="e">
        <f t="shared" si="7"/>
        <v>#DIV/0!</v>
      </c>
      <c r="Y10" s="39" t="e">
        <f t="shared" si="8"/>
        <v>#DIV/0!</v>
      </c>
      <c r="Z10" s="39" t="e">
        <f t="shared" si="9"/>
        <v>#DIV/0!</v>
      </c>
      <c r="AA10" s="39" t="e">
        <f t="shared" si="10"/>
        <v>#DIV/0!</v>
      </c>
      <c r="AB10" s="39" t="e">
        <f t="shared" si="11"/>
        <v>#DIV/0!</v>
      </c>
      <c r="AC10" s="39" t="e">
        <f t="shared" si="12"/>
        <v>#DIV/0!</v>
      </c>
    </row>
    <row r="11" spans="1:29" s="37" customFormat="1">
      <c r="A11" s="37" t="s">
        <v>80</v>
      </c>
      <c r="B11" s="73">
        <f>SUM(B5:B10)</f>
        <v>9672</v>
      </c>
      <c r="C11" s="74">
        <f t="shared" ref="C11:N11" si="13">SUM(C5:C10)</f>
        <v>38182</v>
      </c>
      <c r="D11" s="203">
        <f>SUM(D5:D10)</f>
        <v>11290</v>
      </c>
      <c r="E11" s="37">
        <f t="shared" si="13"/>
        <v>4499</v>
      </c>
      <c r="F11" s="37">
        <f t="shared" si="13"/>
        <v>19623</v>
      </c>
      <c r="G11" s="37">
        <f t="shared" si="13"/>
        <v>0</v>
      </c>
      <c r="H11" s="37">
        <f t="shared" si="13"/>
        <v>0</v>
      </c>
      <c r="I11" s="37">
        <f t="shared" si="13"/>
        <v>0</v>
      </c>
      <c r="J11" s="37">
        <f t="shared" si="13"/>
        <v>0</v>
      </c>
      <c r="K11" s="37">
        <f t="shared" si="13"/>
        <v>0</v>
      </c>
      <c r="L11" s="37">
        <f t="shared" si="13"/>
        <v>0</v>
      </c>
      <c r="M11" s="37">
        <f t="shared" si="13"/>
        <v>0</v>
      </c>
      <c r="N11" s="37">
        <f t="shared" si="13"/>
        <v>0</v>
      </c>
      <c r="Q11" s="20"/>
      <c r="R11" s="20"/>
      <c r="S11" s="20"/>
      <c r="T11" s="20"/>
      <c r="U11" s="20"/>
      <c r="V11" s="20"/>
      <c r="W11" s="20"/>
      <c r="X11" s="20"/>
      <c r="Y11" s="20"/>
      <c r="Z11" s="20"/>
      <c r="AA11" s="20"/>
      <c r="AB11" s="20"/>
      <c r="AC11" s="20"/>
    </row>
    <row r="12" spans="1:29" ht="42.75" customHeight="1">
      <c r="A12" s="20"/>
      <c r="B12" s="20"/>
      <c r="C12" s="20"/>
      <c r="E12" s="20"/>
      <c r="F12" s="2"/>
    </row>
    <row r="13" spans="1:29">
      <c r="A13" s="6"/>
      <c r="B13" s="6"/>
      <c r="C13" s="6"/>
      <c r="D13" s="6"/>
      <c r="E13" s="2"/>
      <c r="F13" s="2"/>
    </row>
    <row r="14" spans="1:29" ht="15" customHeight="1">
      <c r="A14" s="6"/>
      <c r="B14" s="6"/>
      <c r="C14" s="6"/>
      <c r="D14" s="6"/>
      <c r="E14" s="2"/>
      <c r="F14" s="2"/>
    </row>
    <row r="15" spans="1:29">
      <c r="A15" s="6"/>
      <c r="B15" s="2"/>
      <c r="C15" s="2"/>
      <c r="D15" s="2"/>
      <c r="E15" s="2"/>
      <c r="F15" s="2"/>
    </row>
    <row r="16" spans="1:29">
      <c r="A16" s="6"/>
      <c r="B16" s="2"/>
      <c r="C16" s="2"/>
      <c r="D16" s="2"/>
      <c r="E16" s="2"/>
      <c r="F16" s="2"/>
    </row>
    <row r="17" spans="1:6">
      <c r="A17" s="6"/>
      <c r="B17" s="2"/>
      <c r="C17" s="2"/>
      <c r="D17" s="2"/>
      <c r="E17" s="2"/>
      <c r="F17" s="2"/>
    </row>
    <row r="18" spans="1:6">
      <c r="A18" s="6"/>
      <c r="B18" s="2"/>
      <c r="C18" s="2"/>
      <c r="D18" s="2"/>
      <c r="E18" s="2"/>
      <c r="F18" s="2"/>
    </row>
    <row r="19" spans="1:6">
      <c r="A19" s="13"/>
      <c r="B19" s="11"/>
      <c r="C19" s="11"/>
      <c r="D19" s="11"/>
      <c r="E19" s="2"/>
      <c r="F19" s="2"/>
    </row>
    <row r="20" spans="1:6">
      <c r="A20" s="5"/>
      <c r="B20" s="2"/>
      <c r="C20" s="2"/>
      <c r="D20" s="2"/>
      <c r="E20" s="2"/>
      <c r="F20" s="2"/>
    </row>
    <row r="21" spans="1:6">
      <c r="A21" s="4"/>
      <c r="B21" s="2"/>
      <c r="C21" s="2"/>
      <c r="D21" s="2"/>
      <c r="E21" s="2"/>
      <c r="F21" s="2"/>
    </row>
    <row r="22" spans="1:6">
      <c r="A22" s="4"/>
      <c r="B22" s="2"/>
      <c r="C22" s="2"/>
      <c r="D22" s="2"/>
      <c r="E22" s="2"/>
      <c r="F22" s="2"/>
    </row>
    <row r="23" spans="1:6">
      <c r="A23" s="4"/>
      <c r="B23" s="2"/>
      <c r="C23" s="2"/>
      <c r="D23" s="2"/>
      <c r="E23" s="2"/>
      <c r="F23" s="2"/>
    </row>
    <row r="24" spans="1:6">
      <c r="A24" s="4"/>
      <c r="B24" s="2"/>
      <c r="C24" s="2"/>
      <c r="D24" s="2"/>
      <c r="E24" s="2"/>
      <c r="F24" s="2"/>
    </row>
    <row r="25" spans="1:6">
      <c r="A25" s="4"/>
      <c r="B25" s="2"/>
      <c r="C25" s="2"/>
      <c r="D25" s="2"/>
      <c r="E25" s="2"/>
      <c r="F25" s="2"/>
    </row>
    <row r="26" spans="1:6">
      <c r="A26" s="4"/>
      <c r="B26" s="2"/>
      <c r="C26" s="2"/>
      <c r="D26" s="2"/>
      <c r="E26" s="2"/>
      <c r="F26" s="2"/>
    </row>
    <row r="27" spans="1:6">
      <c r="A27" s="4"/>
      <c r="B27" s="2"/>
      <c r="C27" s="2"/>
      <c r="D27" s="2"/>
      <c r="E27" s="2"/>
      <c r="F27" s="2"/>
    </row>
    <row r="28" spans="1:6">
      <c r="A28" s="4"/>
      <c r="B28" s="2"/>
      <c r="C28" s="2"/>
      <c r="D28" s="2"/>
      <c r="E28" s="2"/>
      <c r="F28" s="2"/>
    </row>
    <row r="29" spans="1:6">
      <c r="A29" s="4"/>
      <c r="B29" s="2"/>
      <c r="C29" s="2"/>
      <c r="D29" s="2"/>
      <c r="E29" s="2"/>
      <c r="F29" s="2"/>
    </row>
    <row r="30" spans="1:6">
      <c r="A30" s="4"/>
      <c r="B30" s="2"/>
      <c r="C30" s="2"/>
      <c r="D30" s="2"/>
      <c r="E30" s="2"/>
      <c r="F30" s="2"/>
    </row>
    <row r="31" spans="1:6">
      <c r="A31" s="4"/>
      <c r="B31" s="2"/>
      <c r="C31" s="2"/>
      <c r="D31" s="2"/>
      <c r="E31" s="2"/>
      <c r="F31" s="2"/>
    </row>
    <row r="32" spans="1:6">
      <c r="A32" s="4"/>
      <c r="B32" s="2"/>
      <c r="C32" s="2"/>
      <c r="D32" s="2"/>
      <c r="E32" s="2"/>
      <c r="F32" s="2"/>
    </row>
    <row r="33" spans="1:6">
      <c r="A33" s="4"/>
      <c r="B33" s="2"/>
      <c r="C33" s="2"/>
      <c r="D33" s="2"/>
      <c r="E33" s="2"/>
      <c r="F33" s="2"/>
    </row>
    <row r="34" spans="1:6">
      <c r="A34" s="4"/>
      <c r="B34" s="2"/>
      <c r="C34" s="2"/>
      <c r="D34" s="2"/>
      <c r="E34" s="2"/>
      <c r="F34" s="2"/>
    </row>
    <row r="35" spans="1:6">
      <c r="A35" s="4"/>
      <c r="B35" s="2"/>
      <c r="C35" s="2"/>
      <c r="D35" s="2"/>
      <c r="E35" s="2"/>
      <c r="F35" s="2"/>
    </row>
    <row r="36" spans="1:6">
      <c r="A36" s="4"/>
      <c r="B36" s="2"/>
      <c r="C36" s="2"/>
      <c r="D36" s="2"/>
      <c r="E36" s="2"/>
      <c r="F36" s="2"/>
    </row>
    <row r="37" spans="1:6">
      <c r="A37" s="4"/>
      <c r="B37" s="2"/>
      <c r="C37" s="2"/>
      <c r="D37" s="2"/>
      <c r="E37" s="2"/>
      <c r="F37" s="2"/>
    </row>
    <row r="38" spans="1:6">
      <c r="A38" s="4"/>
      <c r="B38" s="2"/>
      <c r="C38" s="2"/>
      <c r="D38" s="2"/>
      <c r="E38" s="2"/>
      <c r="F38" s="2"/>
    </row>
    <row r="39" spans="1:6">
      <c r="A39" s="4"/>
      <c r="B39" s="2"/>
      <c r="C39" s="2"/>
      <c r="D39" s="2"/>
      <c r="E39" s="2"/>
      <c r="F39" s="2"/>
    </row>
    <row r="40" spans="1:6">
      <c r="A40" s="4"/>
      <c r="B40" s="2"/>
      <c r="C40" s="2"/>
      <c r="D40" s="2"/>
      <c r="E40" s="2"/>
      <c r="F40" s="2"/>
    </row>
    <row r="41" spans="1:6">
      <c r="A41" s="4"/>
      <c r="B41" s="2"/>
      <c r="C41" s="2"/>
      <c r="D41" s="2"/>
      <c r="E41" s="2"/>
      <c r="F41" s="2"/>
    </row>
    <row r="42" spans="1:6">
      <c r="A42" s="4"/>
      <c r="B42" s="2"/>
      <c r="C42" s="2"/>
      <c r="D42" s="2"/>
      <c r="E42" s="2"/>
      <c r="F42" s="2"/>
    </row>
    <row r="43" spans="1:6">
      <c r="A43" s="4"/>
      <c r="B43" s="2"/>
      <c r="C43" s="2"/>
      <c r="D43" s="2"/>
      <c r="E43" s="2"/>
      <c r="F43" s="2"/>
    </row>
    <row r="44" spans="1:6">
      <c r="A44" s="4"/>
      <c r="B44" s="2"/>
      <c r="C44" s="2"/>
      <c r="D44" s="2"/>
      <c r="E44" s="2"/>
      <c r="F44" s="2"/>
    </row>
    <row r="45" spans="1:6">
      <c r="A45" s="4"/>
      <c r="B45" s="2"/>
      <c r="C45" s="2"/>
      <c r="D45" s="2"/>
      <c r="E45" s="2"/>
      <c r="F45" s="2"/>
    </row>
    <row r="46" spans="1:6">
      <c r="A46" s="4"/>
      <c r="B46" s="2"/>
      <c r="C46" s="2"/>
      <c r="D46" s="2"/>
      <c r="E46" s="2"/>
      <c r="F46" s="2"/>
    </row>
    <row r="47" spans="1:6">
      <c r="A47" s="4"/>
      <c r="B47" s="2"/>
      <c r="C47" s="2"/>
      <c r="D47" s="2"/>
      <c r="E47" s="2"/>
      <c r="F47" s="2"/>
    </row>
    <row r="48" spans="1:6">
      <c r="A48" s="4"/>
      <c r="B48" s="2"/>
      <c r="C48" s="2"/>
      <c r="D48" s="2"/>
      <c r="E48" s="2"/>
      <c r="F48" s="2"/>
    </row>
    <row r="49" spans="1:6">
      <c r="A49" s="4"/>
      <c r="B49" s="2"/>
      <c r="C49" s="2"/>
      <c r="D49" s="2"/>
      <c r="E49" s="2"/>
      <c r="F49" s="2"/>
    </row>
    <row r="50" spans="1:6">
      <c r="A50" s="4"/>
      <c r="B50" s="2"/>
      <c r="C50" s="2"/>
      <c r="D50" s="2"/>
      <c r="E50" s="2"/>
      <c r="F50" s="2"/>
    </row>
    <row r="51" spans="1:6">
      <c r="A51" s="4"/>
      <c r="B51" s="2"/>
      <c r="C51" s="2"/>
      <c r="D51" s="2"/>
      <c r="E51" s="2"/>
      <c r="F51" s="2"/>
    </row>
    <row r="52" spans="1:6">
      <c r="A52" s="4"/>
      <c r="B52" s="2"/>
      <c r="C52" s="2"/>
      <c r="D52" s="2"/>
      <c r="E52" s="2"/>
      <c r="F52" s="2"/>
    </row>
    <row r="53" spans="1:6">
      <c r="A53" s="4"/>
      <c r="B53" s="2"/>
      <c r="C53" s="2"/>
      <c r="D53" s="2"/>
      <c r="E53" s="2"/>
      <c r="F53" s="2"/>
    </row>
    <row r="54" spans="1:6">
      <c r="A54" s="4"/>
      <c r="B54" s="2"/>
      <c r="C54" s="2"/>
      <c r="D54" s="2"/>
      <c r="E54" s="2"/>
      <c r="F54" s="2"/>
    </row>
    <row r="55" spans="1:6">
      <c r="A55" s="4"/>
      <c r="B55" s="2"/>
      <c r="C55" s="2"/>
      <c r="D55" s="2"/>
      <c r="E55" s="2"/>
      <c r="F55" s="2"/>
    </row>
    <row r="56" spans="1:6">
      <c r="A56" s="4"/>
      <c r="B56" s="2"/>
      <c r="C56" s="2"/>
      <c r="D56" s="2"/>
      <c r="E56" s="2"/>
      <c r="F56" s="2"/>
    </row>
    <row r="57" spans="1:6">
      <c r="A57" s="4"/>
      <c r="B57" s="2"/>
      <c r="C57" s="2"/>
      <c r="D57" s="2"/>
      <c r="E57" s="2"/>
      <c r="F57" s="2"/>
    </row>
    <row r="58" spans="1:6">
      <c r="A58" s="4"/>
      <c r="B58" s="2"/>
      <c r="C58" s="2"/>
      <c r="D58" s="2"/>
      <c r="E58" s="2"/>
      <c r="F58" s="2"/>
    </row>
    <row r="59" spans="1:6">
      <c r="A59" s="4"/>
      <c r="B59" s="2"/>
      <c r="C59" s="2"/>
      <c r="D59" s="2"/>
      <c r="E59" s="2"/>
      <c r="F59" s="2"/>
    </row>
    <row r="60" spans="1:6">
      <c r="A60" s="4"/>
      <c r="B60" s="2"/>
      <c r="C60" s="2"/>
      <c r="D60" s="2"/>
      <c r="E60" s="2"/>
      <c r="F60" s="2"/>
    </row>
    <row r="61" spans="1:6">
      <c r="A61" s="4"/>
      <c r="B61" s="2"/>
      <c r="C61" s="2"/>
      <c r="D61" s="2"/>
      <c r="E61" s="2"/>
      <c r="F61" s="2"/>
    </row>
    <row r="62" spans="1:6">
      <c r="A62" s="4"/>
      <c r="B62" s="2"/>
      <c r="C62" s="2"/>
      <c r="D62" s="2"/>
      <c r="E62" s="2"/>
      <c r="F62" s="2"/>
    </row>
    <row r="63" spans="1:6">
      <c r="A63" s="4"/>
      <c r="B63" s="2"/>
      <c r="C63" s="2"/>
      <c r="D63" s="2"/>
      <c r="E63" s="2"/>
      <c r="F63" s="2"/>
    </row>
    <row r="64" spans="1:6">
      <c r="A64" s="4"/>
      <c r="B64" s="2"/>
      <c r="C64" s="2"/>
      <c r="D64" s="2"/>
      <c r="E64" s="2"/>
      <c r="F64" s="2"/>
    </row>
    <row r="65" spans="1:6">
      <c r="A65" s="4"/>
      <c r="B65" s="2"/>
      <c r="C65" s="2"/>
      <c r="D65" s="2"/>
      <c r="E65" s="2"/>
      <c r="F65" s="2"/>
    </row>
    <row r="66" spans="1:6">
      <c r="A66" s="4"/>
      <c r="B66" s="2"/>
      <c r="C66" s="2"/>
      <c r="D66" s="2"/>
      <c r="E66" s="2"/>
      <c r="F66" s="2"/>
    </row>
    <row r="67" spans="1:6">
      <c r="A67" s="4"/>
      <c r="B67" s="2"/>
      <c r="C67" s="2"/>
      <c r="D67" s="2"/>
      <c r="E67" s="2"/>
      <c r="F67" s="2"/>
    </row>
    <row r="68" spans="1:6">
      <c r="A68" s="4"/>
      <c r="B68" s="2"/>
      <c r="C68" s="2"/>
      <c r="D68" s="2"/>
      <c r="E68" s="2"/>
      <c r="F68" s="2"/>
    </row>
    <row r="69" spans="1:6">
      <c r="A69" s="4"/>
      <c r="B69" s="2"/>
      <c r="C69" s="2"/>
      <c r="D69" s="2"/>
      <c r="E69" s="2"/>
      <c r="F69" s="2"/>
    </row>
    <row r="70" spans="1:6">
      <c r="A70" s="4"/>
      <c r="B70" s="2"/>
      <c r="C70" s="2"/>
      <c r="D70" s="2"/>
      <c r="E70" s="2"/>
      <c r="F70" s="2"/>
    </row>
    <row r="71" spans="1:6">
      <c r="A71" s="4"/>
      <c r="B71" s="2"/>
      <c r="C71" s="2"/>
      <c r="D71" s="2"/>
      <c r="E71" s="2"/>
      <c r="F71" s="2"/>
    </row>
    <row r="72" spans="1:6">
      <c r="A72" s="4"/>
      <c r="B72" s="2"/>
      <c r="C72" s="2"/>
      <c r="D72" s="2"/>
      <c r="E72" s="2"/>
      <c r="F72" s="2"/>
    </row>
    <row r="73" spans="1:6">
      <c r="A73" s="4"/>
      <c r="B73" s="2"/>
      <c r="C73" s="2"/>
      <c r="D73" s="2"/>
      <c r="E73" s="2"/>
      <c r="F73" s="2"/>
    </row>
    <row r="74" spans="1:6">
      <c r="A74" s="4"/>
      <c r="B74" s="2"/>
      <c r="C74" s="2"/>
      <c r="D74" s="2"/>
      <c r="E74" s="2"/>
      <c r="F74" s="2"/>
    </row>
    <row r="75" spans="1:6">
      <c r="A75" s="4"/>
      <c r="B75" s="2"/>
      <c r="C75" s="2"/>
      <c r="D75" s="2"/>
      <c r="E75" s="2"/>
      <c r="F75" s="2"/>
    </row>
    <row r="76" spans="1:6">
      <c r="A76" s="4"/>
      <c r="B76" s="2"/>
      <c r="C76" s="2"/>
      <c r="D76" s="2"/>
      <c r="E76" s="2"/>
      <c r="F76" s="2"/>
    </row>
    <row r="77" spans="1:6">
      <c r="A77" s="4"/>
      <c r="B77" s="2"/>
      <c r="C77" s="2"/>
      <c r="D77" s="2"/>
      <c r="E77" s="2"/>
      <c r="F77" s="2"/>
    </row>
    <row r="78" spans="1:6">
      <c r="A78" s="4"/>
      <c r="B78" s="2"/>
      <c r="C78" s="2"/>
      <c r="D78" s="2"/>
      <c r="E78" s="2"/>
      <c r="F78" s="2"/>
    </row>
    <row r="79" spans="1:6">
      <c r="A79" s="4"/>
      <c r="B79" s="2"/>
      <c r="C79" s="2"/>
      <c r="D79" s="2"/>
      <c r="E79" s="2"/>
      <c r="F79" s="2"/>
    </row>
    <row r="80" spans="1:6">
      <c r="A80" s="4"/>
      <c r="B80" s="2"/>
      <c r="C80" s="2"/>
      <c r="D80" s="2"/>
      <c r="E80" s="2"/>
      <c r="F80" s="2"/>
    </row>
    <row r="81" spans="1:6">
      <c r="A81" s="4"/>
      <c r="B81" s="2"/>
      <c r="C81" s="2"/>
      <c r="D81" s="2"/>
      <c r="E81" s="2"/>
      <c r="F81" s="2"/>
    </row>
    <row r="82" spans="1:6">
      <c r="A82" s="4"/>
      <c r="B82" s="2"/>
      <c r="C82" s="2"/>
      <c r="D82" s="2"/>
      <c r="E82" s="2"/>
      <c r="F82" s="2"/>
    </row>
    <row r="83" spans="1:6">
      <c r="A83" s="4"/>
      <c r="B83" s="2"/>
      <c r="C83" s="2"/>
      <c r="D83" s="2"/>
      <c r="E83" s="2"/>
      <c r="F83" s="2"/>
    </row>
    <row r="84" spans="1:6">
      <c r="A84" s="4"/>
      <c r="B84" s="2"/>
      <c r="C84" s="2"/>
      <c r="D84" s="2"/>
      <c r="E84" s="2"/>
      <c r="F84" s="2"/>
    </row>
    <row r="85" spans="1:6">
      <c r="A85" s="4"/>
      <c r="B85" s="2"/>
      <c r="C85" s="2"/>
      <c r="D85" s="2"/>
      <c r="E85" s="2"/>
      <c r="F85" s="2"/>
    </row>
    <row r="86" spans="1:6">
      <c r="A86" s="4"/>
      <c r="B86" s="2"/>
      <c r="C86" s="2"/>
      <c r="D86" s="2"/>
      <c r="E86" s="2"/>
      <c r="F86" s="2"/>
    </row>
    <row r="87" spans="1:6">
      <c r="A87" s="4"/>
      <c r="B87" s="2"/>
      <c r="C87" s="2"/>
      <c r="D87" s="2"/>
      <c r="E87" s="2"/>
      <c r="F87" s="2"/>
    </row>
    <row r="88" spans="1:6">
      <c r="A88" s="4"/>
      <c r="B88" s="2"/>
      <c r="C88" s="2"/>
      <c r="D88" s="2"/>
      <c r="E88" s="2"/>
      <c r="F88" s="2"/>
    </row>
    <row r="89" spans="1:6">
      <c r="A89" s="4"/>
      <c r="B89" s="2"/>
      <c r="C89" s="2"/>
      <c r="D89" s="2"/>
      <c r="E89" s="2"/>
      <c r="F89" s="2"/>
    </row>
    <row r="90" spans="1:6">
      <c r="A90" s="4"/>
      <c r="B90" s="2"/>
      <c r="C90" s="2"/>
      <c r="D90" s="2"/>
      <c r="E90" s="2"/>
      <c r="F90" s="2"/>
    </row>
    <row r="91" spans="1:6">
      <c r="A91" s="4"/>
      <c r="B91" s="2"/>
      <c r="C91" s="2"/>
      <c r="D91" s="2"/>
      <c r="E91" s="2"/>
      <c r="F91" s="2"/>
    </row>
    <row r="92" spans="1:6">
      <c r="A92" s="4"/>
      <c r="B92" s="2"/>
      <c r="C92" s="2"/>
      <c r="D92" s="2"/>
      <c r="E92" s="2"/>
      <c r="F92" s="2"/>
    </row>
    <row r="93" spans="1:6">
      <c r="A93" s="4"/>
      <c r="B93" s="2"/>
      <c r="C93" s="2"/>
      <c r="D93" s="2"/>
      <c r="E93" s="2"/>
      <c r="F93" s="2"/>
    </row>
    <row r="94" spans="1:6">
      <c r="A94" s="4"/>
      <c r="B94" s="2"/>
      <c r="C94" s="2"/>
      <c r="D94" s="2"/>
      <c r="E94" s="2"/>
      <c r="F94" s="2"/>
    </row>
    <row r="95" spans="1:6">
      <c r="A95" s="4"/>
      <c r="B95" s="2"/>
      <c r="C95" s="2"/>
      <c r="D95" s="2"/>
      <c r="E95" s="2"/>
      <c r="F95" s="2"/>
    </row>
    <row r="96" spans="1:6">
      <c r="A96" s="4"/>
      <c r="B96" s="2"/>
      <c r="C96" s="2"/>
      <c r="D96" s="2"/>
      <c r="E96" s="2"/>
      <c r="F96" s="2"/>
    </row>
    <row r="97" spans="1:6">
      <c r="A97" s="4"/>
      <c r="B97" s="2"/>
      <c r="C97" s="2"/>
      <c r="D97" s="2"/>
      <c r="E97" s="2"/>
      <c r="F97" s="2"/>
    </row>
    <row r="98" spans="1:6">
      <c r="A98" s="4"/>
      <c r="B98" s="2"/>
      <c r="C98" s="2"/>
      <c r="D98" s="2"/>
      <c r="E98" s="2"/>
      <c r="F98" s="2"/>
    </row>
    <row r="99" spans="1:6">
      <c r="A99" s="4"/>
      <c r="B99" s="2"/>
      <c r="C99" s="2"/>
      <c r="D99" s="2"/>
      <c r="E99" s="2"/>
      <c r="F99" s="2"/>
    </row>
    <row r="100" spans="1:6">
      <c r="A100" s="4"/>
      <c r="B100" s="2"/>
      <c r="C100" s="2"/>
      <c r="D100" s="2"/>
      <c r="E100" s="2"/>
      <c r="F100" s="2"/>
    </row>
    <row r="101" spans="1:6">
      <c r="A101" s="4"/>
      <c r="B101" s="2"/>
      <c r="C101" s="2"/>
      <c r="D101" s="2"/>
      <c r="E101" s="2"/>
      <c r="F101" s="2"/>
    </row>
    <row r="102" spans="1:6">
      <c r="A102" s="4"/>
      <c r="B102" s="2"/>
      <c r="C102" s="2"/>
      <c r="D102" s="2"/>
      <c r="E102" s="2"/>
      <c r="F102" s="2"/>
    </row>
    <row r="103" spans="1:6">
      <c r="A103" s="4"/>
      <c r="B103" s="2"/>
      <c r="C103" s="2"/>
      <c r="D103" s="2"/>
      <c r="E103" s="2"/>
      <c r="F103" s="2"/>
    </row>
    <row r="104" spans="1:6">
      <c r="A104" s="4"/>
      <c r="B104" s="2"/>
      <c r="C104" s="2"/>
      <c r="D104" s="2"/>
      <c r="E104" s="2"/>
      <c r="F104" s="2"/>
    </row>
    <row r="105" spans="1:6">
      <c r="A105" s="4"/>
      <c r="B105" s="2"/>
      <c r="C105" s="2"/>
      <c r="D105" s="2"/>
      <c r="E105" s="2"/>
      <c r="F105" s="2"/>
    </row>
    <row r="106" spans="1:6">
      <c r="A106" s="4"/>
      <c r="B106" s="2"/>
      <c r="C106" s="2"/>
      <c r="D106" s="2"/>
      <c r="E106" s="2"/>
      <c r="F106" s="2"/>
    </row>
    <row r="107" spans="1:6">
      <c r="A107" s="4"/>
      <c r="B107" s="2"/>
      <c r="C107" s="2"/>
      <c r="D107" s="2"/>
      <c r="E107" s="2"/>
      <c r="F107" s="2"/>
    </row>
    <row r="108" spans="1:6">
      <c r="A108" s="4"/>
      <c r="B108" s="2"/>
      <c r="C108" s="2"/>
      <c r="D108" s="2"/>
      <c r="E108" s="2"/>
      <c r="F108" s="2"/>
    </row>
    <row r="109" spans="1:6">
      <c r="A109" s="4"/>
      <c r="B109" s="2"/>
      <c r="C109" s="2"/>
      <c r="D109" s="2"/>
      <c r="E109" s="2"/>
      <c r="F109" s="2"/>
    </row>
    <row r="110" spans="1:6">
      <c r="A110" s="4"/>
      <c r="B110" s="2"/>
      <c r="C110" s="2"/>
      <c r="D110" s="2"/>
      <c r="E110" s="2"/>
      <c r="F110" s="2"/>
    </row>
    <row r="111" spans="1:6">
      <c r="A111" s="4"/>
      <c r="B111" s="2"/>
      <c r="C111" s="2"/>
      <c r="D111" s="2"/>
      <c r="E111" s="2"/>
      <c r="F111" s="2"/>
    </row>
    <row r="112" spans="1:6">
      <c r="A112" s="4"/>
      <c r="B112" s="2"/>
      <c r="C112" s="2"/>
      <c r="D112" s="2"/>
      <c r="E112" s="2"/>
      <c r="F112" s="2"/>
    </row>
    <row r="113" spans="1:6">
      <c r="A113" s="4"/>
      <c r="B113" s="2"/>
      <c r="C113" s="2"/>
      <c r="D113" s="2"/>
      <c r="E113" s="2"/>
      <c r="F113" s="2"/>
    </row>
    <row r="114" spans="1:6">
      <c r="A114" s="4"/>
      <c r="B114" s="2"/>
      <c r="C114" s="2"/>
      <c r="D114" s="2"/>
      <c r="E114" s="2"/>
      <c r="F114" s="2"/>
    </row>
    <row r="115" spans="1:6">
      <c r="A115" s="4"/>
      <c r="B115" s="2"/>
      <c r="C115" s="2"/>
      <c r="D115" s="2"/>
      <c r="E115" s="2"/>
      <c r="F115" s="2"/>
    </row>
    <row r="116" spans="1:6">
      <c r="A116" s="4"/>
      <c r="B116" s="2"/>
      <c r="C116" s="2"/>
      <c r="D116" s="2"/>
      <c r="E116" s="2"/>
      <c r="F116" s="2"/>
    </row>
    <row r="117" spans="1:6">
      <c r="A117" s="4"/>
      <c r="B117" s="2"/>
      <c r="C117" s="2"/>
      <c r="D117" s="2"/>
      <c r="E117" s="2"/>
      <c r="F117" s="2"/>
    </row>
    <row r="118" spans="1:6">
      <c r="A118" s="4"/>
      <c r="B118" s="2"/>
      <c r="C118" s="2"/>
      <c r="D118" s="2"/>
      <c r="E118" s="2"/>
      <c r="F118" s="2"/>
    </row>
    <row r="119" spans="1:6">
      <c r="A119" s="4"/>
      <c r="B119" s="2"/>
      <c r="C119" s="2"/>
      <c r="D119" s="2"/>
      <c r="E119" s="2"/>
      <c r="F119" s="2"/>
    </row>
    <row r="120" spans="1:6">
      <c r="A120" s="4"/>
      <c r="B120" s="2"/>
      <c r="C120" s="2"/>
      <c r="D120" s="2"/>
      <c r="E120" s="2"/>
      <c r="F120" s="2"/>
    </row>
    <row r="121" spans="1:6">
      <c r="A121" s="4"/>
      <c r="B121" s="2"/>
      <c r="C121" s="2"/>
      <c r="D121" s="2"/>
      <c r="E121" s="2"/>
      <c r="F121" s="2"/>
    </row>
    <row r="122" spans="1:6">
      <c r="A122" s="4"/>
      <c r="B122" s="2"/>
      <c r="C122" s="2"/>
      <c r="D122" s="2"/>
      <c r="E122" s="2"/>
      <c r="F122" s="2"/>
    </row>
    <row r="123" spans="1:6">
      <c r="A123" s="4"/>
      <c r="B123" s="2"/>
      <c r="C123" s="2"/>
      <c r="D123" s="2"/>
      <c r="E123" s="2"/>
      <c r="F123" s="2"/>
    </row>
    <row r="124" spans="1:6">
      <c r="A124" s="4"/>
      <c r="B124" s="2"/>
      <c r="C124" s="2"/>
      <c r="D124" s="2"/>
      <c r="E124" s="2"/>
      <c r="F124" s="2"/>
    </row>
    <row r="125" spans="1:6">
      <c r="A125" s="4"/>
      <c r="B125" s="2"/>
      <c r="C125" s="2"/>
      <c r="D125" s="2"/>
      <c r="E125" s="2"/>
      <c r="F125" s="2"/>
    </row>
    <row r="126" spans="1:6">
      <c r="A126" s="4"/>
      <c r="B126" s="2"/>
      <c r="C126" s="2"/>
      <c r="D126" s="2"/>
      <c r="E126" s="2"/>
      <c r="F126" s="2"/>
    </row>
    <row r="127" spans="1:6">
      <c r="A127" s="4"/>
      <c r="B127" s="2"/>
      <c r="C127" s="2"/>
      <c r="D127" s="2"/>
      <c r="E127" s="2"/>
      <c r="F127" s="2"/>
    </row>
    <row r="128" spans="1:6">
      <c r="A128" s="4"/>
      <c r="B128" s="2"/>
      <c r="C128" s="2"/>
      <c r="D128" s="2"/>
      <c r="E128" s="2"/>
      <c r="F128" s="2"/>
    </row>
    <row r="129" spans="1:6">
      <c r="A129" s="4"/>
      <c r="B129" s="2"/>
      <c r="C129" s="2"/>
      <c r="D129" s="2"/>
      <c r="E129" s="2"/>
      <c r="F129" s="2"/>
    </row>
    <row r="130" spans="1:6">
      <c r="A130" s="4"/>
      <c r="B130" s="2"/>
      <c r="C130" s="2"/>
      <c r="D130" s="2"/>
      <c r="E130" s="2"/>
      <c r="F130" s="2"/>
    </row>
    <row r="131" spans="1:6">
      <c r="A131" s="4"/>
      <c r="B131" s="2"/>
      <c r="C131" s="2"/>
      <c r="D131" s="2"/>
      <c r="E131" s="2"/>
      <c r="F131" s="2"/>
    </row>
    <row r="132" spans="1:6">
      <c r="A132" s="4"/>
      <c r="B132" s="2"/>
      <c r="C132" s="2"/>
      <c r="D132" s="2"/>
      <c r="E132" s="2"/>
      <c r="F132" s="2"/>
    </row>
    <row r="133" spans="1:6">
      <c r="A133" s="4"/>
      <c r="B133" s="2"/>
      <c r="C133" s="2"/>
      <c r="D133" s="2"/>
      <c r="E133" s="2"/>
      <c r="F133" s="2"/>
    </row>
    <row r="134" spans="1:6">
      <c r="A134" s="4"/>
      <c r="B134" s="2"/>
      <c r="C134" s="2"/>
      <c r="D134" s="2"/>
      <c r="E134" s="2"/>
      <c r="F134" s="2"/>
    </row>
    <row r="135" spans="1:6">
      <c r="A135" s="4"/>
      <c r="B135" s="2"/>
      <c r="C135" s="2"/>
      <c r="D135" s="2"/>
      <c r="E135" s="2"/>
      <c r="F135" s="2"/>
    </row>
    <row r="136" spans="1:6">
      <c r="A136" s="4"/>
      <c r="B136" s="2"/>
      <c r="C136" s="2"/>
      <c r="D136" s="2"/>
      <c r="E136" s="2"/>
      <c r="F136" s="2"/>
    </row>
    <row r="137" spans="1:6">
      <c r="A137" s="4"/>
      <c r="B137" s="2"/>
      <c r="C137" s="2"/>
      <c r="D137" s="2"/>
      <c r="E137" s="2"/>
      <c r="F137" s="2"/>
    </row>
    <row r="138" spans="1:6">
      <c r="A138" s="4"/>
      <c r="B138" s="2"/>
      <c r="C138" s="2"/>
      <c r="D138" s="2"/>
      <c r="E138" s="2"/>
      <c r="F138" s="2"/>
    </row>
    <row r="139" spans="1:6">
      <c r="A139" s="4"/>
      <c r="B139" s="2"/>
      <c r="C139" s="2"/>
      <c r="D139" s="2"/>
      <c r="E139" s="2"/>
      <c r="F139" s="2"/>
    </row>
    <row r="140" spans="1:6">
      <c r="A140" s="4"/>
      <c r="B140" s="2"/>
      <c r="C140" s="2"/>
      <c r="D140" s="2"/>
      <c r="E140" s="2"/>
      <c r="F140" s="2"/>
    </row>
    <row r="141" spans="1:6">
      <c r="A141" s="4"/>
      <c r="B141" s="2"/>
      <c r="C141" s="2"/>
      <c r="D141" s="2"/>
      <c r="E141" s="2"/>
      <c r="F141" s="2"/>
    </row>
    <row r="142" spans="1:6">
      <c r="A142" s="4"/>
      <c r="B142" s="2"/>
      <c r="C142" s="2"/>
      <c r="D142" s="2"/>
      <c r="E142" s="2"/>
      <c r="F142" s="2"/>
    </row>
    <row r="143" spans="1:6">
      <c r="A143" s="4"/>
      <c r="B143" s="2"/>
      <c r="C143" s="2"/>
      <c r="D143" s="2"/>
      <c r="E143" s="2"/>
      <c r="F143" s="2"/>
    </row>
    <row r="144" spans="1:6">
      <c r="A144" s="4"/>
      <c r="B144" s="2"/>
      <c r="C144" s="2"/>
      <c r="D144" s="2"/>
      <c r="E144" s="2"/>
      <c r="F144" s="2"/>
    </row>
    <row r="145" spans="1:6">
      <c r="A145" s="4"/>
      <c r="B145" s="2"/>
      <c r="C145" s="2"/>
      <c r="D145" s="2"/>
      <c r="E145" s="2"/>
      <c r="F145" s="2"/>
    </row>
    <row r="146" spans="1:6">
      <c r="A146" s="4"/>
      <c r="B146" s="2"/>
      <c r="C146" s="2"/>
      <c r="D146" s="2"/>
      <c r="E146" s="2"/>
      <c r="F146" s="2"/>
    </row>
    <row r="147" spans="1:6">
      <c r="A147" s="4"/>
      <c r="B147" s="2"/>
      <c r="C147" s="2"/>
      <c r="D147" s="2"/>
      <c r="E147" s="2"/>
      <c r="F147" s="2"/>
    </row>
    <row r="148" spans="1:6">
      <c r="A148" s="4"/>
      <c r="B148" s="2"/>
      <c r="C148" s="2"/>
      <c r="D148" s="2"/>
      <c r="E148" s="2"/>
      <c r="F148" s="2"/>
    </row>
    <row r="149" spans="1:6">
      <c r="A149" s="4"/>
      <c r="B149" s="2"/>
      <c r="C149" s="2"/>
      <c r="D149" s="2"/>
      <c r="E149" s="2"/>
      <c r="F149" s="2"/>
    </row>
    <row r="150" spans="1:6">
      <c r="A150" s="4"/>
      <c r="B150" s="2"/>
      <c r="C150" s="2"/>
      <c r="D150" s="2"/>
      <c r="E150" s="2"/>
      <c r="F150" s="2"/>
    </row>
    <row r="151" spans="1:6">
      <c r="A151" s="4"/>
      <c r="B151" s="2"/>
      <c r="C151" s="2"/>
      <c r="D151" s="2"/>
      <c r="E151" s="2"/>
      <c r="F151" s="2"/>
    </row>
    <row r="152" spans="1:6">
      <c r="A152" s="4"/>
      <c r="B152" s="2"/>
      <c r="C152" s="2"/>
      <c r="D152" s="2"/>
      <c r="E152" s="2"/>
      <c r="F152" s="2"/>
    </row>
    <row r="153" spans="1:6">
      <c r="A153" s="4"/>
      <c r="B153" s="2"/>
      <c r="C153" s="2"/>
      <c r="D153" s="2"/>
      <c r="E153" s="2"/>
      <c r="F153" s="2"/>
    </row>
    <row r="154" spans="1:6">
      <c r="A154" s="4"/>
      <c r="B154" s="2"/>
      <c r="C154" s="2"/>
      <c r="D154" s="2"/>
      <c r="E154" s="2"/>
      <c r="F154" s="2"/>
    </row>
    <row r="155" spans="1:6">
      <c r="A155" s="4"/>
      <c r="B155" s="2"/>
      <c r="C155" s="2"/>
      <c r="D155" s="2"/>
      <c r="E155" s="2"/>
      <c r="F155" s="2"/>
    </row>
    <row r="156" spans="1:6">
      <c r="A156" s="4"/>
      <c r="B156" s="2"/>
      <c r="C156" s="2"/>
      <c r="D156" s="2"/>
      <c r="E156" s="2"/>
      <c r="F156" s="2"/>
    </row>
    <row r="158" spans="1:6">
      <c r="A158" s="7"/>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46"/>
  <sheetViews>
    <sheetView topLeftCell="M1" zoomScale="90" zoomScaleNormal="90" workbookViewId="0">
      <selection activeCell="AM38" sqref="AM38"/>
    </sheetView>
  </sheetViews>
  <sheetFormatPr baseColWidth="10" defaultColWidth="8.6640625" defaultRowHeight="15"/>
  <cols>
    <col min="1" max="1" width="62.6640625" customWidth="1"/>
    <col min="2" max="3" width="12.33203125" bestFit="1" customWidth="1"/>
    <col min="4" max="4" width="12.33203125" style="20" customWidth="1"/>
    <col min="5" max="5" width="12.33203125" bestFit="1" customWidth="1"/>
    <col min="6" max="6" width="16.1640625" bestFit="1" customWidth="1"/>
    <col min="16" max="16" width="30.33203125" customWidth="1"/>
    <col min="19" max="19" width="8.6640625" style="20"/>
  </cols>
  <sheetData>
    <row r="1" spans="1:29">
      <c r="A1" s="49" t="s">
        <v>131</v>
      </c>
      <c r="B1" s="50" t="s">
        <v>161</v>
      </c>
    </row>
    <row r="2" spans="1:29">
      <c r="A2" s="10" t="s">
        <v>4</v>
      </c>
    </row>
    <row r="3" spans="1:29">
      <c r="A3" s="12"/>
    </row>
    <row r="4" spans="1:29" ht="85" thickBot="1">
      <c r="A4" s="18" t="s">
        <v>132</v>
      </c>
      <c r="B4" s="22" t="str">
        <f>Table_4.0_Information!$A$4</f>
        <v>Colorado</v>
      </c>
      <c r="C4" s="22" t="str">
        <f>Table_4.0_Information!$A$5</f>
        <v>Kentucky</v>
      </c>
      <c r="D4" s="22" t="s">
        <v>337</v>
      </c>
      <c r="E4" s="22" t="str">
        <f>Table_4.0_Information!$A$6</f>
        <v>New Mexico</v>
      </c>
      <c r="F4" s="22" t="s">
        <v>338</v>
      </c>
      <c r="G4" s="22" t="str">
        <f>Table_4.0_Information!$A$8</f>
        <v>5 add state in table 0</v>
      </c>
      <c r="H4" s="22" t="str">
        <f>Table_4.0_Information!$A$9</f>
        <v>6 add state in table 0</v>
      </c>
      <c r="I4" s="22" t="str">
        <f>Table_4.0_Information!$A$10</f>
        <v>7 add state in table 0</v>
      </c>
      <c r="J4" s="22" t="str">
        <f>Table_4.0_Information!$A$11</f>
        <v>8 add state in table 0</v>
      </c>
      <c r="K4" s="22" t="str">
        <f>Table_4.0_Information!$A$12</f>
        <v>9 add state in table 0</v>
      </c>
      <c r="L4" s="22" t="str">
        <f>Table_4.0_Information!$A$13</f>
        <v>10 add state in table 0</v>
      </c>
      <c r="M4" s="22" t="str">
        <f>Table_4.0_Information!$A$14</f>
        <v>11 add state in table 0</v>
      </c>
      <c r="N4" s="22" t="str">
        <f>Table_4.0_Information!$A$15</f>
        <v>12 add state in table 0</v>
      </c>
      <c r="P4" t="s">
        <v>132</v>
      </c>
      <c r="Q4" s="22" t="str">
        <f>Table_4.0_Information!$A$4</f>
        <v>Colorado</v>
      </c>
      <c r="R4" s="22" t="str">
        <f>Table_4.0_Information!$A$5</f>
        <v>Kentucky</v>
      </c>
      <c r="S4" s="22" t="s">
        <v>337</v>
      </c>
      <c r="T4" s="22" t="str">
        <f>Table_4.0_Information!$A$6</f>
        <v>New Mexico</v>
      </c>
      <c r="U4" s="22" t="s">
        <v>444</v>
      </c>
      <c r="V4" s="22" t="str">
        <f>Table_4.0_Information!$A$8</f>
        <v>5 add state in table 0</v>
      </c>
      <c r="W4" s="22" t="str">
        <f>Table_4.0_Information!$A$9</f>
        <v>6 add state in table 0</v>
      </c>
      <c r="X4" s="22" t="str">
        <f>Table_4.0_Information!$A$10</f>
        <v>7 add state in table 0</v>
      </c>
      <c r="Y4" s="22" t="str">
        <f>Table_4.0_Information!$A$11</f>
        <v>8 add state in table 0</v>
      </c>
      <c r="Z4" s="22" t="str">
        <f>Table_4.0_Information!$A$12</f>
        <v>9 add state in table 0</v>
      </c>
      <c r="AA4" s="22" t="str">
        <f>Table_4.0_Information!$A$13</f>
        <v>10 add state in table 0</v>
      </c>
      <c r="AB4" s="22" t="str">
        <f>Table_4.0_Information!$A$14</f>
        <v>11 add state in table 0</v>
      </c>
      <c r="AC4" s="22" t="str">
        <f>Table_4.0_Information!$A$15</f>
        <v>12 add state in table 0</v>
      </c>
    </row>
    <row r="5" spans="1:29" s="20" customFormat="1" ht="16" thickTop="1">
      <c r="A5" s="37" t="s">
        <v>68</v>
      </c>
      <c r="B5" s="67">
        <v>6777</v>
      </c>
      <c r="C5" s="67">
        <v>30147</v>
      </c>
      <c r="D5" s="67">
        <v>7327</v>
      </c>
      <c r="E5" s="67">
        <v>3199</v>
      </c>
      <c r="F5" s="67">
        <v>14175</v>
      </c>
      <c r="G5" s="24"/>
      <c r="H5" s="26"/>
      <c r="I5" s="24"/>
      <c r="J5" s="26"/>
      <c r="K5" s="26"/>
      <c r="L5" s="26"/>
      <c r="M5" s="26"/>
      <c r="N5" s="26"/>
      <c r="P5" s="20" t="s">
        <v>68</v>
      </c>
      <c r="Q5" s="39">
        <f>B5/B$27</f>
        <v>0.92405235887646575</v>
      </c>
      <c r="R5" s="39">
        <f>C5/C$27</f>
        <v>0.94516553799849512</v>
      </c>
      <c r="S5" s="39">
        <f t="shared" ref="S5:AC5" si="0">D5/D$27</f>
        <v>0.89648843753823571</v>
      </c>
      <c r="T5" s="39">
        <f t="shared" si="0"/>
        <v>0.85420560747663554</v>
      </c>
      <c r="U5" s="39">
        <f t="shared" si="0"/>
        <v>0.96291012838801715</v>
      </c>
      <c r="V5" s="39" t="e">
        <f t="shared" si="0"/>
        <v>#DIV/0!</v>
      </c>
      <c r="W5" s="39" t="e">
        <f t="shared" si="0"/>
        <v>#DIV/0!</v>
      </c>
      <c r="X5" s="39" t="e">
        <f t="shared" si="0"/>
        <v>#DIV/0!</v>
      </c>
      <c r="Y5" s="39" t="e">
        <f t="shared" si="0"/>
        <v>#DIV/0!</v>
      </c>
      <c r="Z5" s="39" t="e">
        <f t="shared" si="0"/>
        <v>#DIV/0!</v>
      </c>
      <c r="AA5" s="39" t="e">
        <f t="shared" si="0"/>
        <v>#DIV/0!</v>
      </c>
      <c r="AB5" s="39" t="e">
        <f t="shared" si="0"/>
        <v>#DIV/0!</v>
      </c>
      <c r="AC5" s="39" t="e">
        <f t="shared" si="0"/>
        <v>#DIV/0!</v>
      </c>
    </row>
    <row r="6" spans="1:29">
      <c r="A6" s="37" t="s">
        <v>25</v>
      </c>
      <c r="B6" s="67">
        <v>74</v>
      </c>
      <c r="C6" s="67">
        <v>0</v>
      </c>
      <c r="D6" s="208">
        <v>177</v>
      </c>
      <c r="E6" s="67">
        <v>25</v>
      </c>
      <c r="F6" s="67">
        <v>239</v>
      </c>
      <c r="G6" s="24"/>
      <c r="H6" s="26"/>
      <c r="I6" s="24"/>
      <c r="J6" s="26"/>
      <c r="K6" s="26"/>
      <c r="L6" s="26"/>
      <c r="M6" s="26"/>
      <c r="N6" s="26"/>
      <c r="P6" t="s">
        <v>310</v>
      </c>
      <c r="Q6" s="39">
        <f t="shared" ref="Q6:Q10" si="1">B6/B$27</f>
        <v>1.0089991818925552E-2</v>
      </c>
      <c r="R6" s="39">
        <f t="shared" ref="R6:R10" si="2">C6/C$27</f>
        <v>0</v>
      </c>
      <c r="S6" s="39">
        <f t="shared" ref="S6:U10" si="3">D6/D$27</f>
        <v>2.1656674415759206E-2</v>
      </c>
      <c r="T6" s="39">
        <f t="shared" ref="T6:T10" si="4">E6/E$27</f>
        <v>6.6755674232309749E-3</v>
      </c>
      <c r="U6" s="39">
        <f t="shared" si="3"/>
        <v>1.6235310101215952E-2</v>
      </c>
      <c r="V6" s="39" t="e">
        <f t="shared" ref="V6:V10" si="5">G6/G$27</f>
        <v>#DIV/0!</v>
      </c>
      <c r="W6" s="39" t="e">
        <f t="shared" ref="W6:W10" si="6">H6/H$27</f>
        <v>#DIV/0!</v>
      </c>
      <c r="X6" s="39" t="e">
        <f t="shared" ref="X6:X10" si="7">I6/I$27</f>
        <v>#DIV/0!</v>
      </c>
      <c r="Y6" s="39" t="e">
        <f t="shared" ref="Y6:Y10" si="8">J6/J$27</f>
        <v>#DIV/0!</v>
      </c>
      <c r="Z6" s="39" t="e">
        <f t="shared" ref="Z6:Z10" si="9">K6/K$27</f>
        <v>#DIV/0!</v>
      </c>
      <c r="AA6" s="39" t="e">
        <f t="shared" ref="AA6:AA10" si="10">L6/L$27</f>
        <v>#DIV/0!</v>
      </c>
      <c r="AB6" s="39" t="e">
        <f t="shared" ref="AB6:AB10" si="11">M6/M$27</f>
        <v>#DIV/0!</v>
      </c>
      <c r="AC6" s="39" t="e">
        <f t="shared" ref="AC6:AC10" si="12">N6/N$27</f>
        <v>#DIV/0!</v>
      </c>
    </row>
    <row r="7" spans="1:29">
      <c r="A7" s="37" t="s">
        <v>69</v>
      </c>
      <c r="B7" s="67">
        <v>3</v>
      </c>
      <c r="C7" s="67">
        <v>180</v>
      </c>
      <c r="D7" s="208">
        <v>29</v>
      </c>
      <c r="E7" s="67">
        <v>1</v>
      </c>
      <c r="F7" s="67">
        <v>13</v>
      </c>
      <c r="G7" s="24"/>
      <c r="H7" s="26"/>
      <c r="I7" s="24"/>
      <c r="J7" s="26"/>
      <c r="K7" s="26"/>
      <c r="L7" s="26"/>
      <c r="M7" s="26"/>
      <c r="N7" s="26"/>
      <c r="P7" t="s">
        <v>311</v>
      </c>
      <c r="Q7" s="39">
        <f t="shared" si="1"/>
        <v>4.0905372238887375E-4</v>
      </c>
      <c r="R7" s="39">
        <f t="shared" si="2"/>
        <v>5.6433408577878106E-3</v>
      </c>
      <c r="S7" s="39">
        <f t="shared" si="3"/>
        <v>3.5482686895876667E-3</v>
      </c>
      <c r="T7" s="39">
        <f t="shared" si="4"/>
        <v>2.6702269692923899E-4</v>
      </c>
      <c r="U7" s="39">
        <f t="shared" si="3"/>
        <v>8.8309218123768765E-4</v>
      </c>
      <c r="V7" s="39" t="e">
        <f t="shared" si="5"/>
        <v>#DIV/0!</v>
      </c>
      <c r="W7" s="39" t="e">
        <f t="shared" si="6"/>
        <v>#DIV/0!</v>
      </c>
      <c r="X7" s="39" t="e">
        <f t="shared" si="7"/>
        <v>#DIV/0!</v>
      </c>
      <c r="Y7" s="39" t="e">
        <f t="shared" si="8"/>
        <v>#DIV/0!</v>
      </c>
      <c r="Z7" s="39" t="e">
        <f t="shared" si="9"/>
        <v>#DIV/0!</v>
      </c>
      <c r="AA7" s="39" t="e">
        <f t="shared" si="10"/>
        <v>#DIV/0!</v>
      </c>
      <c r="AB7" s="39" t="e">
        <f t="shared" si="11"/>
        <v>#DIV/0!</v>
      </c>
      <c r="AC7" s="39" t="e">
        <f t="shared" si="12"/>
        <v>#DIV/0!</v>
      </c>
    </row>
    <row r="8" spans="1:29">
      <c r="A8" s="37" t="s">
        <v>23</v>
      </c>
      <c r="B8" s="67">
        <v>102</v>
      </c>
      <c r="C8" s="67">
        <v>27</v>
      </c>
      <c r="D8" s="208">
        <v>229</v>
      </c>
      <c r="E8" s="67">
        <v>98</v>
      </c>
      <c r="F8" s="67">
        <v>211</v>
      </c>
      <c r="G8" s="26"/>
      <c r="H8" s="26"/>
      <c r="I8" s="26"/>
      <c r="J8" s="26"/>
      <c r="K8" s="26"/>
      <c r="L8" s="26"/>
      <c r="M8" s="26"/>
      <c r="N8" s="26"/>
      <c r="P8" t="s">
        <v>312</v>
      </c>
      <c r="Q8" s="39">
        <f t="shared" si="1"/>
        <v>1.3907826561221708E-2</v>
      </c>
      <c r="R8" s="39">
        <f t="shared" si="2"/>
        <v>8.4650112866817154E-4</v>
      </c>
      <c r="S8" s="39">
        <f t="shared" si="3"/>
        <v>2.8019087238468125E-2</v>
      </c>
      <c r="T8" s="39">
        <f t="shared" si="4"/>
        <v>2.6168224299065422E-2</v>
      </c>
      <c r="U8" s="39">
        <f t="shared" si="3"/>
        <v>1.4333265403165546E-2</v>
      </c>
      <c r="V8" s="39" t="e">
        <f t="shared" si="5"/>
        <v>#DIV/0!</v>
      </c>
      <c r="W8" s="39" t="e">
        <f t="shared" si="6"/>
        <v>#DIV/0!</v>
      </c>
      <c r="X8" s="39" t="e">
        <f t="shared" si="7"/>
        <v>#DIV/0!</v>
      </c>
      <c r="Y8" s="39" t="e">
        <f t="shared" si="8"/>
        <v>#DIV/0!</v>
      </c>
      <c r="Z8" s="39" t="e">
        <f t="shared" si="9"/>
        <v>#DIV/0!</v>
      </c>
      <c r="AA8" s="39" t="e">
        <f t="shared" si="10"/>
        <v>#DIV/0!</v>
      </c>
      <c r="AB8" s="39" t="e">
        <f t="shared" si="11"/>
        <v>#DIV/0!</v>
      </c>
      <c r="AC8" s="39" t="e">
        <f t="shared" si="12"/>
        <v>#DIV/0!</v>
      </c>
    </row>
    <row r="9" spans="1:29">
      <c r="A9" s="37" t="s">
        <v>30</v>
      </c>
      <c r="B9" s="67">
        <v>9</v>
      </c>
      <c r="C9" s="67">
        <v>241</v>
      </c>
      <c r="D9" s="208">
        <v>11</v>
      </c>
      <c r="E9" s="67">
        <v>6</v>
      </c>
      <c r="F9" s="67">
        <v>14</v>
      </c>
      <c r="G9" s="26"/>
      <c r="H9" s="26"/>
      <c r="I9" s="26"/>
      <c r="J9" s="26"/>
      <c r="K9" s="26"/>
      <c r="L9" s="26"/>
      <c r="M9" s="26"/>
      <c r="N9" s="26"/>
      <c r="P9" t="s">
        <v>313</v>
      </c>
      <c r="Q9" s="39">
        <f t="shared" si="1"/>
        <v>1.2271611671666213E-3</v>
      </c>
      <c r="R9" s="39">
        <f t="shared" si="2"/>
        <v>7.5558063707047906E-3</v>
      </c>
      <c r="S9" s="39">
        <f t="shared" si="3"/>
        <v>1.3458950201884253E-3</v>
      </c>
      <c r="T9" s="39">
        <f t="shared" si="4"/>
        <v>1.6021361815754338E-3</v>
      </c>
      <c r="U9" s="39">
        <f t="shared" si="3"/>
        <v>9.5102234902520212E-4</v>
      </c>
      <c r="V9" s="39" t="e">
        <f t="shared" si="5"/>
        <v>#DIV/0!</v>
      </c>
      <c r="W9" s="39" t="e">
        <f t="shared" si="6"/>
        <v>#DIV/0!</v>
      </c>
      <c r="X9" s="39" t="e">
        <f t="shared" si="7"/>
        <v>#DIV/0!</v>
      </c>
      <c r="Y9" s="39" t="e">
        <f t="shared" si="8"/>
        <v>#DIV/0!</v>
      </c>
      <c r="Z9" s="39" t="e">
        <f t="shared" si="9"/>
        <v>#DIV/0!</v>
      </c>
      <c r="AA9" s="39" t="e">
        <f t="shared" si="10"/>
        <v>#DIV/0!</v>
      </c>
      <c r="AB9" s="39" t="e">
        <f t="shared" si="11"/>
        <v>#DIV/0!</v>
      </c>
      <c r="AC9" s="39" t="e">
        <f t="shared" si="12"/>
        <v>#DIV/0!</v>
      </c>
    </row>
    <row r="10" spans="1:29">
      <c r="A10" s="37" t="s">
        <v>70</v>
      </c>
      <c r="B10" s="67">
        <v>1</v>
      </c>
      <c r="C10" s="67">
        <v>18</v>
      </c>
      <c r="D10" s="208">
        <v>0</v>
      </c>
      <c r="E10" s="67">
        <v>1</v>
      </c>
      <c r="F10" s="67">
        <v>0</v>
      </c>
      <c r="G10" s="26"/>
      <c r="H10" s="26"/>
      <c r="I10" s="26"/>
      <c r="J10" s="26"/>
      <c r="K10" s="26"/>
      <c r="L10" s="26"/>
      <c r="M10" s="26"/>
      <c r="N10" s="26"/>
      <c r="P10" t="s">
        <v>314</v>
      </c>
      <c r="Q10" s="39">
        <f t="shared" si="1"/>
        <v>1.3635124079629124E-4</v>
      </c>
      <c r="R10" s="39">
        <f t="shared" si="2"/>
        <v>5.6433408577878099E-4</v>
      </c>
      <c r="S10" s="39">
        <f t="shared" si="3"/>
        <v>0</v>
      </c>
      <c r="T10" s="39">
        <f t="shared" si="4"/>
        <v>2.6702269692923899E-4</v>
      </c>
      <c r="U10" s="39">
        <f t="shared" si="3"/>
        <v>0</v>
      </c>
      <c r="V10" s="39" t="e">
        <f t="shared" si="5"/>
        <v>#DIV/0!</v>
      </c>
      <c r="W10" s="39" t="e">
        <f t="shared" si="6"/>
        <v>#DIV/0!</v>
      </c>
      <c r="X10" s="39" t="e">
        <f t="shared" si="7"/>
        <v>#DIV/0!</v>
      </c>
      <c r="Y10" s="39" t="e">
        <f t="shared" si="8"/>
        <v>#DIV/0!</v>
      </c>
      <c r="Z10" s="39" t="e">
        <f t="shared" si="9"/>
        <v>#DIV/0!</v>
      </c>
      <c r="AA10" s="39" t="e">
        <f t="shared" si="10"/>
        <v>#DIV/0!</v>
      </c>
      <c r="AB10" s="39" t="e">
        <f t="shared" si="11"/>
        <v>#DIV/0!</v>
      </c>
      <c r="AC10" s="39" t="e">
        <f t="shared" si="12"/>
        <v>#DIV/0!</v>
      </c>
    </row>
    <row r="11" spans="1:29">
      <c r="A11" s="37" t="s">
        <v>71</v>
      </c>
      <c r="B11" s="67">
        <v>1</v>
      </c>
      <c r="C11" s="67" t="s">
        <v>255</v>
      </c>
      <c r="D11" s="208">
        <v>1</v>
      </c>
      <c r="E11" s="67">
        <v>1</v>
      </c>
      <c r="F11" s="67">
        <v>0</v>
      </c>
      <c r="G11" s="26"/>
      <c r="H11" s="26"/>
      <c r="I11" s="26"/>
      <c r="J11" s="26"/>
      <c r="K11" s="26"/>
      <c r="L11" s="26"/>
      <c r="M11" s="26"/>
      <c r="N11" s="26"/>
      <c r="P11" t="s">
        <v>315</v>
      </c>
      <c r="Q11" s="39">
        <f t="shared" ref="Q11:Q26" si="13">B11/B$27</f>
        <v>1.3635124079629124E-4</v>
      </c>
      <c r="R11" s="39" t="e">
        <f t="shared" ref="R11:R26" si="14">C11/C$27</f>
        <v>#VALUE!</v>
      </c>
      <c r="S11" s="39">
        <f t="shared" ref="S11:U26" si="15">D11/D$27</f>
        <v>1.223540927444023E-4</v>
      </c>
      <c r="T11" s="39">
        <f t="shared" ref="T11:T26" si="16">E11/E$27</f>
        <v>2.6702269692923899E-4</v>
      </c>
      <c r="U11" s="39">
        <f t="shared" si="15"/>
        <v>0</v>
      </c>
      <c r="V11" s="39" t="e">
        <f t="shared" ref="V11:V26" si="17">G11/G$27</f>
        <v>#DIV/0!</v>
      </c>
      <c r="W11" s="39" t="e">
        <f t="shared" ref="W11:W26" si="18">H11/H$27</f>
        <v>#DIV/0!</v>
      </c>
      <c r="X11" s="39" t="e">
        <f t="shared" ref="X11:X26" si="19">I11/I$27</f>
        <v>#DIV/0!</v>
      </c>
      <c r="Y11" s="39" t="e">
        <f t="shared" ref="Y11:Y26" si="20">J11/J$27</f>
        <v>#DIV/0!</v>
      </c>
      <c r="Z11" s="39" t="e">
        <f t="shared" ref="Z11:Z26" si="21">K11/K$27</f>
        <v>#DIV/0!</v>
      </c>
      <c r="AA11" s="39" t="e">
        <f t="shared" ref="AA11:AA26" si="22">L11/L$27</f>
        <v>#DIV/0!</v>
      </c>
      <c r="AB11" s="39" t="e">
        <f t="shared" ref="AB11:AB26" si="23">M11/M$27</f>
        <v>#DIV/0!</v>
      </c>
      <c r="AC11" s="39" t="e">
        <f t="shared" ref="AC11:AC26" si="24">N11/N$27</f>
        <v>#DIV/0!</v>
      </c>
    </row>
    <row r="12" spans="1:29" s="20" customFormat="1">
      <c r="A12" s="37" t="s">
        <v>74</v>
      </c>
      <c r="B12" s="67">
        <v>1</v>
      </c>
      <c r="C12" s="67">
        <v>0</v>
      </c>
      <c r="D12" s="208">
        <v>0</v>
      </c>
      <c r="E12" s="67">
        <v>0</v>
      </c>
      <c r="F12" s="67">
        <v>0</v>
      </c>
      <c r="G12" s="26"/>
      <c r="H12" s="26"/>
      <c r="I12" s="26"/>
      <c r="J12" s="26"/>
      <c r="K12" s="26"/>
      <c r="L12" s="26"/>
      <c r="M12" s="26"/>
      <c r="N12" s="26"/>
      <c r="P12" s="20" t="s">
        <v>316</v>
      </c>
      <c r="Q12" s="39">
        <f t="shared" si="13"/>
        <v>1.3635124079629124E-4</v>
      </c>
      <c r="R12" s="39">
        <f t="shared" si="14"/>
        <v>0</v>
      </c>
      <c r="S12" s="39">
        <f t="shared" si="15"/>
        <v>0</v>
      </c>
      <c r="T12" s="39">
        <f t="shared" si="16"/>
        <v>0</v>
      </c>
      <c r="U12" s="39">
        <f t="shared" si="15"/>
        <v>0</v>
      </c>
      <c r="V12" s="39" t="e">
        <f t="shared" si="17"/>
        <v>#DIV/0!</v>
      </c>
      <c r="W12" s="39" t="e">
        <f t="shared" si="18"/>
        <v>#DIV/0!</v>
      </c>
      <c r="X12" s="39" t="e">
        <f t="shared" si="19"/>
        <v>#DIV/0!</v>
      </c>
      <c r="Y12" s="39" t="e">
        <f t="shared" si="20"/>
        <v>#DIV/0!</v>
      </c>
      <c r="Z12" s="39" t="e">
        <f t="shared" si="21"/>
        <v>#DIV/0!</v>
      </c>
      <c r="AA12" s="39" t="e">
        <f t="shared" si="22"/>
        <v>#DIV/0!</v>
      </c>
      <c r="AB12" s="39" t="e">
        <f t="shared" si="23"/>
        <v>#DIV/0!</v>
      </c>
      <c r="AC12" s="39" t="e">
        <f t="shared" si="24"/>
        <v>#DIV/0!</v>
      </c>
    </row>
    <row r="13" spans="1:29" s="20" customFormat="1">
      <c r="A13" s="37" t="s">
        <v>35</v>
      </c>
      <c r="B13" s="67">
        <v>9</v>
      </c>
      <c r="C13" s="67" t="s">
        <v>255</v>
      </c>
      <c r="D13" s="67">
        <v>26</v>
      </c>
      <c r="E13" s="67">
        <v>5</v>
      </c>
      <c r="F13" s="67">
        <v>1</v>
      </c>
      <c r="G13" s="26"/>
      <c r="H13" s="26"/>
      <c r="I13" s="26"/>
      <c r="J13" s="26"/>
      <c r="K13" s="26"/>
      <c r="L13" s="26"/>
      <c r="M13" s="26"/>
      <c r="N13" s="26"/>
      <c r="P13" s="20" t="s">
        <v>317</v>
      </c>
      <c r="Q13" s="39">
        <f t="shared" si="13"/>
        <v>1.2271611671666213E-3</v>
      </c>
      <c r="R13" s="39" t="e">
        <f t="shared" si="14"/>
        <v>#VALUE!</v>
      </c>
      <c r="S13" s="39">
        <f t="shared" si="15"/>
        <v>3.1812064113544598E-3</v>
      </c>
      <c r="T13" s="39">
        <f t="shared" si="16"/>
        <v>1.3351134846461949E-3</v>
      </c>
      <c r="U13" s="39">
        <f t="shared" si="15"/>
        <v>6.7930167787514441E-5</v>
      </c>
      <c r="V13" s="39" t="e">
        <f t="shared" si="17"/>
        <v>#DIV/0!</v>
      </c>
      <c r="W13" s="39" t="e">
        <f t="shared" si="18"/>
        <v>#DIV/0!</v>
      </c>
      <c r="X13" s="39" t="e">
        <f t="shared" si="19"/>
        <v>#DIV/0!</v>
      </c>
      <c r="Y13" s="39" t="e">
        <f t="shared" si="20"/>
        <v>#DIV/0!</v>
      </c>
      <c r="Z13" s="39" t="e">
        <f t="shared" si="21"/>
        <v>#DIV/0!</v>
      </c>
      <c r="AA13" s="39" t="e">
        <f t="shared" si="22"/>
        <v>#DIV/0!</v>
      </c>
      <c r="AB13" s="39" t="e">
        <f t="shared" si="23"/>
        <v>#DIV/0!</v>
      </c>
      <c r="AC13" s="39" t="e">
        <f t="shared" si="24"/>
        <v>#DIV/0!</v>
      </c>
    </row>
    <row r="14" spans="1:29">
      <c r="A14" s="37" t="s">
        <v>31</v>
      </c>
      <c r="B14" s="67">
        <v>6</v>
      </c>
      <c r="C14" s="67">
        <v>120</v>
      </c>
      <c r="D14" s="208">
        <v>9</v>
      </c>
      <c r="E14" s="67">
        <v>2</v>
      </c>
      <c r="F14" s="67">
        <v>2</v>
      </c>
      <c r="G14" s="26"/>
      <c r="H14" s="26"/>
      <c r="I14" s="26"/>
      <c r="J14" s="26"/>
      <c r="K14" s="26"/>
      <c r="L14" s="26"/>
      <c r="M14" s="26"/>
      <c r="N14" s="26"/>
      <c r="P14" t="s">
        <v>318</v>
      </c>
      <c r="Q14" s="39">
        <f t="shared" si="13"/>
        <v>8.181074447777475E-4</v>
      </c>
      <c r="R14" s="39">
        <f t="shared" si="14"/>
        <v>3.7622272385252069E-3</v>
      </c>
      <c r="S14" s="39">
        <f t="shared" si="15"/>
        <v>1.1011868346996207E-3</v>
      </c>
      <c r="T14" s="39">
        <f t="shared" si="16"/>
        <v>5.3404539385847798E-4</v>
      </c>
      <c r="U14" s="39">
        <f t="shared" si="15"/>
        <v>1.3586033557502888E-4</v>
      </c>
      <c r="V14" s="39" t="e">
        <f t="shared" si="17"/>
        <v>#DIV/0!</v>
      </c>
      <c r="W14" s="39" t="e">
        <f t="shared" si="18"/>
        <v>#DIV/0!</v>
      </c>
      <c r="X14" s="39" t="e">
        <f t="shared" si="19"/>
        <v>#DIV/0!</v>
      </c>
      <c r="Y14" s="39" t="e">
        <f t="shared" si="20"/>
        <v>#DIV/0!</v>
      </c>
      <c r="Z14" s="39" t="e">
        <f t="shared" si="21"/>
        <v>#DIV/0!</v>
      </c>
      <c r="AA14" s="39" t="e">
        <f t="shared" si="22"/>
        <v>#DIV/0!</v>
      </c>
      <c r="AB14" s="39" t="e">
        <f t="shared" si="23"/>
        <v>#DIV/0!</v>
      </c>
      <c r="AC14" s="39" t="e">
        <f t="shared" si="24"/>
        <v>#DIV/0!</v>
      </c>
    </row>
    <row r="15" spans="1:29">
      <c r="A15" s="37" t="s">
        <v>24</v>
      </c>
      <c r="B15" s="67">
        <v>49</v>
      </c>
      <c r="C15" s="67">
        <v>22</v>
      </c>
      <c r="D15" s="208">
        <v>120</v>
      </c>
      <c r="E15" s="67">
        <v>45</v>
      </c>
      <c r="F15" s="67">
        <v>23</v>
      </c>
      <c r="G15" s="26"/>
      <c r="H15" s="26"/>
      <c r="I15" s="26"/>
      <c r="J15" s="26"/>
      <c r="K15" s="26"/>
      <c r="L15" s="26"/>
      <c r="M15" s="26"/>
      <c r="N15" s="26"/>
      <c r="P15" t="s">
        <v>319</v>
      </c>
      <c r="Q15" s="39">
        <f t="shared" si="13"/>
        <v>6.6812107990182707E-3</v>
      </c>
      <c r="R15" s="39">
        <f t="shared" si="14"/>
        <v>6.897416603962879E-4</v>
      </c>
      <c r="S15" s="39">
        <f t="shared" si="15"/>
        <v>1.4682491129328276E-2</v>
      </c>
      <c r="T15" s="39">
        <f t="shared" si="16"/>
        <v>1.2016021361815754E-2</v>
      </c>
      <c r="U15" s="39">
        <f t="shared" si="15"/>
        <v>1.5623938591128319E-3</v>
      </c>
      <c r="V15" s="39" t="e">
        <f t="shared" si="17"/>
        <v>#DIV/0!</v>
      </c>
      <c r="W15" s="39" t="e">
        <f t="shared" si="18"/>
        <v>#DIV/0!</v>
      </c>
      <c r="X15" s="39" t="e">
        <f t="shared" si="19"/>
        <v>#DIV/0!</v>
      </c>
      <c r="Y15" s="39" t="e">
        <f t="shared" si="20"/>
        <v>#DIV/0!</v>
      </c>
      <c r="Z15" s="39" t="e">
        <f t="shared" si="21"/>
        <v>#DIV/0!</v>
      </c>
      <c r="AA15" s="39" t="e">
        <f t="shared" si="22"/>
        <v>#DIV/0!</v>
      </c>
      <c r="AB15" s="39" t="e">
        <f t="shared" si="23"/>
        <v>#DIV/0!</v>
      </c>
      <c r="AC15" s="39" t="e">
        <f t="shared" si="24"/>
        <v>#DIV/0!</v>
      </c>
    </row>
    <row r="16" spans="1:29">
      <c r="A16" s="37" t="s">
        <v>32</v>
      </c>
      <c r="B16" s="67">
        <v>17</v>
      </c>
      <c r="C16" s="67">
        <v>196</v>
      </c>
      <c r="D16" s="208">
        <v>8</v>
      </c>
      <c r="E16" s="67">
        <v>6</v>
      </c>
      <c r="F16" s="67">
        <v>6</v>
      </c>
      <c r="G16" s="26"/>
      <c r="H16" s="26"/>
      <c r="I16" s="26"/>
      <c r="J16" s="26"/>
      <c r="K16" s="26"/>
      <c r="L16" s="26"/>
      <c r="M16" s="26"/>
      <c r="N16" s="26"/>
      <c r="P16" t="s">
        <v>320</v>
      </c>
      <c r="Q16" s="39">
        <f t="shared" si="13"/>
        <v>2.317971093536951E-3</v>
      </c>
      <c r="R16" s="39">
        <f t="shared" si="14"/>
        <v>6.1449711562578382E-3</v>
      </c>
      <c r="S16" s="39">
        <f t="shared" si="15"/>
        <v>9.7883274195521841E-4</v>
      </c>
      <c r="T16" s="39">
        <f t="shared" si="16"/>
        <v>1.6021361815754338E-3</v>
      </c>
      <c r="U16" s="39">
        <f t="shared" si="15"/>
        <v>4.0758100672508659E-4</v>
      </c>
      <c r="V16" s="39" t="e">
        <f t="shared" si="17"/>
        <v>#DIV/0!</v>
      </c>
      <c r="W16" s="39" t="e">
        <f t="shared" si="18"/>
        <v>#DIV/0!</v>
      </c>
      <c r="X16" s="39" t="e">
        <f t="shared" si="19"/>
        <v>#DIV/0!</v>
      </c>
      <c r="Y16" s="39" t="e">
        <f t="shared" si="20"/>
        <v>#DIV/0!</v>
      </c>
      <c r="Z16" s="39" t="e">
        <f t="shared" si="21"/>
        <v>#DIV/0!</v>
      </c>
      <c r="AA16" s="39" t="e">
        <f t="shared" si="22"/>
        <v>#DIV/0!</v>
      </c>
      <c r="AB16" s="39" t="e">
        <f t="shared" si="23"/>
        <v>#DIV/0!</v>
      </c>
      <c r="AC16" s="39" t="e">
        <f t="shared" si="24"/>
        <v>#DIV/0!</v>
      </c>
    </row>
    <row r="17" spans="1:29">
      <c r="A17" s="37" t="s">
        <v>33</v>
      </c>
      <c r="B17" s="67">
        <v>4</v>
      </c>
      <c r="C17" s="67">
        <v>57</v>
      </c>
      <c r="D17" s="208">
        <v>3</v>
      </c>
      <c r="E17" s="67">
        <v>3</v>
      </c>
      <c r="F17" s="67">
        <v>3</v>
      </c>
      <c r="G17" s="26"/>
      <c r="H17" s="26"/>
      <c r="I17" s="26"/>
      <c r="J17" s="26"/>
      <c r="K17" s="26"/>
      <c r="L17" s="26"/>
      <c r="M17" s="26"/>
      <c r="N17" s="26"/>
      <c r="P17" t="s">
        <v>321</v>
      </c>
      <c r="Q17" s="39">
        <f t="shared" si="13"/>
        <v>5.4540496318516497E-4</v>
      </c>
      <c r="R17" s="39">
        <f t="shared" si="14"/>
        <v>1.7870579382994734E-3</v>
      </c>
      <c r="S17" s="39">
        <f t="shared" si="15"/>
        <v>3.670622782332069E-4</v>
      </c>
      <c r="T17" s="39">
        <f t="shared" si="16"/>
        <v>8.0106809078771691E-4</v>
      </c>
      <c r="U17" s="39">
        <f t="shared" si="15"/>
        <v>2.037905033625433E-4</v>
      </c>
      <c r="V17" s="39" t="e">
        <f t="shared" si="17"/>
        <v>#DIV/0!</v>
      </c>
      <c r="W17" s="39" t="e">
        <f t="shared" si="18"/>
        <v>#DIV/0!</v>
      </c>
      <c r="X17" s="39" t="e">
        <f t="shared" si="19"/>
        <v>#DIV/0!</v>
      </c>
      <c r="Y17" s="39" t="e">
        <f t="shared" si="20"/>
        <v>#DIV/0!</v>
      </c>
      <c r="Z17" s="39" t="e">
        <f t="shared" si="21"/>
        <v>#DIV/0!</v>
      </c>
      <c r="AA17" s="39" t="e">
        <f t="shared" si="22"/>
        <v>#DIV/0!</v>
      </c>
      <c r="AB17" s="39" t="e">
        <f t="shared" si="23"/>
        <v>#DIV/0!</v>
      </c>
      <c r="AC17" s="39" t="e">
        <f t="shared" si="24"/>
        <v>#DIV/0!</v>
      </c>
    </row>
    <row r="18" spans="1:29">
      <c r="A18" s="37" t="s">
        <v>72</v>
      </c>
      <c r="B18" s="67">
        <v>0</v>
      </c>
      <c r="C18" s="67">
        <v>14</v>
      </c>
      <c r="D18" s="208">
        <v>1</v>
      </c>
      <c r="E18" s="67">
        <v>1</v>
      </c>
      <c r="F18" s="67">
        <v>0</v>
      </c>
      <c r="G18" s="26"/>
      <c r="H18" s="26"/>
      <c r="I18" s="26"/>
      <c r="J18" s="26"/>
      <c r="K18" s="26"/>
      <c r="L18" s="26"/>
      <c r="M18" s="26"/>
      <c r="N18" s="26"/>
      <c r="P18" t="s">
        <v>322</v>
      </c>
      <c r="Q18" s="39">
        <f t="shared" si="13"/>
        <v>0</v>
      </c>
      <c r="R18" s="39">
        <f t="shared" si="14"/>
        <v>4.3892651116127413E-4</v>
      </c>
      <c r="S18" s="39">
        <f t="shared" si="15"/>
        <v>1.223540927444023E-4</v>
      </c>
      <c r="T18" s="39">
        <f t="shared" si="16"/>
        <v>2.6702269692923899E-4</v>
      </c>
      <c r="U18" s="39">
        <f t="shared" si="15"/>
        <v>0</v>
      </c>
      <c r="V18" s="39" t="e">
        <f t="shared" si="17"/>
        <v>#DIV/0!</v>
      </c>
      <c r="W18" s="39" t="e">
        <f t="shared" si="18"/>
        <v>#DIV/0!</v>
      </c>
      <c r="X18" s="39" t="e">
        <f t="shared" si="19"/>
        <v>#DIV/0!</v>
      </c>
      <c r="Y18" s="39" t="e">
        <f t="shared" si="20"/>
        <v>#DIV/0!</v>
      </c>
      <c r="Z18" s="39" t="e">
        <f t="shared" si="21"/>
        <v>#DIV/0!</v>
      </c>
      <c r="AA18" s="39" t="e">
        <f t="shared" si="22"/>
        <v>#DIV/0!</v>
      </c>
      <c r="AB18" s="39" t="e">
        <f t="shared" si="23"/>
        <v>#DIV/0!</v>
      </c>
      <c r="AC18" s="39" t="e">
        <f t="shared" si="24"/>
        <v>#DIV/0!</v>
      </c>
    </row>
    <row r="19" spans="1:29">
      <c r="A19" s="37" t="s">
        <v>73</v>
      </c>
      <c r="B19" s="67">
        <v>1</v>
      </c>
      <c r="C19" s="67" t="s">
        <v>255</v>
      </c>
      <c r="D19" s="208">
        <v>3</v>
      </c>
      <c r="E19" s="67">
        <v>0</v>
      </c>
      <c r="F19" s="67">
        <v>0</v>
      </c>
      <c r="G19" s="26"/>
      <c r="H19" s="26"/>
      <c r="I19" s="26"/>
      <c r="J19" s="26"/>
      <c r="K19" s="26"/>
      <c r="L19" s="26"/>
      <c r="M19" s="26"/>
      <c r="N19" s="26"/>
      <c r="P19" t="s">
        <v>323</v>
      </c>
      <c r="Q19" s="39">
        <f t="shared" si="13"/>
        <v>1.3635124079629124E-4</v>
      </c>
      <c r="R19" s="39" t="e">
        <f t="shared" si="14"/>
        <v>#VALUE!</v>
      </c>
      <c r="S19" s="39">
        <f t="shared" si="15"/>
        <v>3.670622782332069E-4</v>
      </c>
      <c r="T19" s="39">
        <f t="shared" si="16"/>
        <v>0</v>
      </c>
      <c r="U19" s="39">
        <f t="shared" si="15"/>
        <v>0</v>
      </c>
      <c r="V19" s="39" t="e">
        <f t="shared" si="17"/>
        <v>#DIV/0!</v>
      </c>
      <c r="W19" s="39" t="e">
        <f t="shared" si="18"/>
        <v>#DIV/0!</v>
      </c>
      <c r="X19" s="39" t="e">
        <f t="shared" si="19"/>
        <v>#DIV/0!</v>
      </c>
      <c r="Y19" s="39" t="e">
        <f t="shared" si="20"/>
        <v>#DIV/0!</v>
      </c>
      <c r="Z19" s="39" t="e">
        <f t="shared" si="21"/>
        <v>#DIV/0!</v>
      </c>
      <c r="AA19" s="39" t="e">
        <f t="shared" si="22"/>
        <v>#DIV/0!</v>
      </c>
      <c r="AB19" s="39" t="e">
        <f t="shared" si="23"/>
        <v>#DIV/0!</v>
      </c>
      <c r="AC19" s="39" t="e">
        <f t="shared" si="24"/>
        <v>#DIV/0!</v>
      </c>
    </row>
    <row r="20" spans="1:29">
      <c r="A20" s="37" t="s">
        <v>36</v>
      </c>
      <c r="B20" s="67">
        <v>1</v>
      </c>
      <c r="C20" s="67">
        <v>6</v>
      </c>
      <c r="D20" s="208">
        <v>2</v>
      </c>
      <c r="E20" s="67">
        <v>1</v>
      </c>
      <c r="F20" s="67">
        <v>1</v>
      </c>
      <c r="G20" s="26"/>
      <c r="H20" s="26"/>
      <c r="I20" s="26"/>
      <c r="J20" s="26"/>
      <c r="K20" s="26"/>
      <c r="L20" s="26"/>
      <c r="M20" s="26"/>
      <c r="N20" s="26"/>
      <c r="P20" t="s">
        <v>324</v>
      </c>
      <c r="Q20" s="39">
        <f t="shared" si="13"/>
        <v>1.3635124079629124E-4</v>
      </c>
      <c r="R20" s="39">
        <f t="shared" si="14"/>
        <v>1.8811136192626034E-4</v>
      </c>
      <c r="S20" s="39">
        <f t="shared" si="15"/>
        <v>2.447081854888046E-4</v>
      </c>
      <c r="T20" s="39">
        <f t="shared" si="16"/>
        <v>2.6702269692923899E-4</v>
      </c>
      <c r="U20" s="39">
        <f t="shared" si="15"/>
        <v>6.7930167787514441E-5</v>
      </c>
      <c r="V20" s="39" t="e">
        <f t="shared" si="17"/>
        <v>#DIV/0!</v>
      </c>
      <c r="W20" s="39" t="e">
        <f t="shared" si="18"/>
        <v>#DIV/0!</v>
      </c>
      <c r="X20" s="39" t="e">
        <f t="shared" si="19"/>
        <v>#DIV/0!</v>
      </c>
      <c r="Y20" s="39" t="e">
        <f t="shared" si="20"/>
        <v>#DIV/0!</v>
      </c>
      <c r="Z20" s="39" t="e">
        <f t="shared" si="21"/>
        <v>#DIV/0!</v>
      </c>
      <c r="AA20" s="39" t="e">
        <f t="shared" si="22"/>
        <v>#DIV/0!</v>
      </c>
      <c r="AB20" s="39" t="e">
        <f t="shared" si="23"/>
        <v>#DIV/0!</v>
      </c>
      <c r="AC20" s="39" t="e">
        <f t="shared" si="24"/>
        <v>#DIV/0!</v>
      </c>
    </row>
    <row r="21" spans="1:29">
      <c r="A21" s="37" t="s">
        <v>29</v>
      </c>
      <c r="B21" s="67">
        <v>2</v>
      </c>
      <c r="C21" s="67">
        <v>8</v>
      </c>
      <c r="D21" s="208">
        <v>5</v>
      </c>
      <c r="E21" s="67">
        <v>0</v>
      </c>
      <c r="F21" s="67">
        <v>0</v>
      </c>
      <c r="G21" s="26"/>
      <c r="H21" s="26"/>
      <c r="I21" s="26"/>
      <c r="J21" s="26"/>
      <c r="K21" s="26"/>
      <c r="L21" s="26"/>
      <c r="M21" s="26"/>
      <c r="N21" s="26"/>
      <c r="P21" t="s">
        <v>325</v>
      </c>
      <c r="Q21" s="39">
        <f t="shared" si="13"/>
        <v>2.7270248159258248E-4</v>
      </c>
      <c r="R21" s="39">
        <f t="shared" si="14"/>
        <v>2.5081514923501377E-4</v>
      </c>
      <c r="S21" s="39">
        <f t="shared" si="15"/>
        <v>6.1177046372201151E-4</v>
      </c>
      <c r="T21" s="39">
        <f t="shared" si="16"/>
        <v>0</v>
      </c>
      <c r="U21" s="39">
        <f t="shared" si="15"/>
        <v>0</v>
      </c>
      <c r="V21" s="39" t="e">
        <f t="shared" si="17"/>
        <v>#DIV/0!</v>
      </c>
      <c r="W21" s="39" t="e">
        <f t="shared" si="18"/>
        <v>#DIV/0!</v>
      </c>
      <c r="X21" s="39" t="e">
        <f t="shared" si="19"/>
        <v>#DIV/0!</v>
      </c>
      <c r="Y21" s="39" t="e">
        <f t="shared" si="20"/>
        <v>#DIV/0!</v>
      </c>
      <c r="Z21" s="39" t="e">
        <f t="shared" si="21"/>
        <v>#DIV/0!</v>
      </c>
      <c r="AA21" s="39" t="e">
        <f t="shared" si="22"/>
        <v>#DIV/0!</v>
      </c>
      <c r="AB21" s="39" t="e">
        <f t="shared" si="23"/>
        <v>#DIV/0!</v>
      </c>
      <c r="AC21" s="39" t="e">
        <f t="shared" si="24"/>
        <v>#DIV/0!</v>
      </c>
    </row>
    <row r="22" spans="1:29">
      <c r="A22" s="37" t="s">
        <v>26</v>
      </c>
      <c r="B22" s="67">
        <v>262</v>
      </c>
      <c r="C22" s="67">
        <v>832</v>
      </c>
      <c r="D22" s="208">
        <v>209</v>
      </c>
      <c r="E22" s="67">
        <v>335</v>
      </c>
      <c r="F22" s="67">
        <v>32</v>
      </c>
      <c r="G22" s="26"/>
      <c r="H22" s="26"/>
      <c r="I22" s="26"/>
      <c r="J22" s="26"/>
      <c r="K22" s="26"/>
      <c r="L22" s="26"/>
      <c r="M22" s="26"/>
      <c r="N22" s="26"/>
      <c r="P22" t="s">
        <v>326</v>
      </c>
      <c r="Q22" s="39">
        <f t="shared" si="13"/>
        <v>3.5724025088628306E-2</v>
      </c>
      <c r="R22" s="39">
        <f t="shared" si="14"/>
        <v>2.6084775520441434E-2</v>
      </c>
      <c r="S22" s="39">
        <f t="shared" si="15"/>
        <v>2.5572005383580079E-2</v>
      </c>
      <c r="T22" s="39">
        <f t="shared" si="16"/>
        <v>8.9452603471295064E-2</v>
      </c>
      <c r="U22" s="39">
        <f t="shared" si="15"/>
        <v>2.1737653692004621E-3</v>
      </c>
      <c r="V22" s="39" t="e">
        <f t="shared" si="17"/>
        <v>#DIV/0!</v>
      </c>
      <c r="W22" s="39" t="e">
        <f t="shared" si="18"/>
        <v>#DIV/0!</v>
      </c>
      <c r="X22" s="39" t="e">
        <f t="shared" si="19"/>
        <v>#DIV/0!</v>
      </c>
      <c r="Y22" s="39" t="e">
        <f t="shared" si="20"/>
        <v>#DIV/0!</v>
      </c>
      <c r="Z22" s="39" t="e">
        <f t="shared" si="21"/>
        <v>#DIV/0!</v>
      </c>
      <c r="AA22" s="39" t="e">
        <f t="shared" si="22"/>
        <v>#DIV/0!</v>
      </c>
      <c r="AB22" s="39" t="e">
        <f t="shared" si="23"/>
        <v>#DIV/0!</v>
      </c>
      <c r="AC22" s="39" t="e">
        <f t="shared" si="24"/>
        <v>#DIV/0!</v>
      </c>
    </row>
    <row r="23" spans="1:29">
      <c r="A23" s="37" t="s">
        <v>27</v>
      </c>
      <c r="B23" s="67">
        <v>0</v>
      </c>
      <c r="C23" s="67">
        <v>0</v>
      </c>
      <c r="D23" s="208">
        <v>0</v>
      </c>
      <c r="E23" s="67">
        <v>6</v>
      </c>
      <c r="F23" s="67">
        <v>0</v>
      </c>
      <c r="G23" s="26"/>
      <c r="H23" s="26"/>
      <c r="I23" s="26"/>
      <c r="J23" s="26"/>
      <c r="K23" s="26"/>
      <c r="L23" s="26"/>
      <c r="M23" s="26"/>
      <c r="N23" s="26"/>
      <c r="P23" t="s">
        <v>327</v>
      </c>
      <c r="Q23" s="39">
        <f t="shared" si="13"/>
        <v>0</v>
      </c>
      <c r="R23" s="39">
        <f t="shared" si="14"/>
        <v>0</v>
      </c>
      <c r="S23" s="39">
        <f t="shared" si="15"/>
        <v>0</v>
      </c>
      <c r="T23" s="39">
        <f t="shared" si="16"/>
        <v>1.6021361815754338E-3</v>
      </c>
      <c r="U23" s="39">
        <f t="shared" si="15"/>
        <v>0</v>
      </c>
      <c r="V23" s="39" t="e">
        <f t="shared" si="17"/>
        <v>#DIV/0!</v>
      </c>
      <c r="W23" s="39" t="e">
        <f t="shared" si="18"/>
        <v>#DIV/0!</v>
      </c>
      <c r="X23" s="39" t="e">
        <f t="shared" si="19"/>
        <v>#DIV/0!</v>
      </c>
      <c r="Y23" s="39" t="e">
        <f t="shared" si="20"/>
        <v>#DIV/0!</v>
      </c>
      <c r="Z23" s="39" t="e">
        <f t="shared" si="21"/>
        <v>#DIV/0!</v>
      </c>
      <c r="AA23" s="39" t="e">
        <f t="shared" si="22"/>
        <v>#DIV/0!</v>
      </c>
      <c r="AB23" s="39" t="e">
        <f t="shared" si="23"/>
        <v>#DIV/0!</v>
      </c>
      <c r="AC23" s="39" t="e">
        <f t="shared" si="24"/>
        <v>#DIV/0!</v>
      </c>
    </row>
    <row r="24" spans="1:29">
      <c r="A24" s="37" t="s">
        <v>28</v>
      </c>
      <c r="B24" s="67">
        <v>10</v>
      </c>
      <c r="C24" s="67">
        <v>28</v>
      </c>
      <c r="D24" s="208">
        <v>8</v>
      </c>
      <c r="E24" s="67">
        <v>6</v>
      </c>
      <c r="F24" s="67">
        <v>0</v>
      </c>
      <c r="G24" s="26"/>
      <c r="H24" s="26"/>
      <c r="I24" s="26"/>
      <c r="J24" s="26"/>
      <c r="K24" s="26"/>
      <c r="L24" s="26"/>
      <c r="M24" s="26"/>
      <c r="N24" s="26"/>
      <c r="P24" t="s">
        <v>328</v>
      </c>
      <c r="Q24" s="39">
        <f t="shared" si="13"/>
        <v>1.3635124079629125E-3</v>
      </c>
      <c r="R24" s="39">
        <f t="shared" si="14"/>
        <v>8.7785302232254827E-4</v>
      </c>
      <c r="S24" s="39">
        <f t="shared" si="15"/>
        <v>9.7883274195521841E-4</v>
      </c>
      <c r="T24" s="39">
        <f t="shared" si="16"/>
        <v>1.6021361815754338E-3</v>
      </c>
      <c r="U24" s="39">
        <f t="shared" si="15"/>
        <v>0</v>
      </c>
      <c r="V24" s="39" t="e">
        <f t="shared" si="17"/>
        <v>#DIV/0!</v>
      </c>
      <c r="W24" s="39" t="e">
        <f t="shared" si="18"/>
        <v>#DIV/0!</v>
      </c>
      <c r="X24" s="39" t="e">
        <f t="shared" si="19"/>
        <v>#DIV/0!</v>
      </c>
      <c r="Y24" s="39" t="e">
        <f t="shared" si="20"/>
        <v>#DIV/0!</v>
      </c>
      <c r="Z24" s="39" t="e">
        <f t="shared" si="21"/>
        <v>#DIV/0!</v>
      </c>
      <c r="AA24" s="39" t="e">
        <f t="shared" si="22"/>
        <v>#DIV/0!</v>
      </c>
      <c r="AB24" s="39" t="e">
        <f t="shared" si="23"/>
        <v>#DIV/0!</v>
      </c>
      <c r="AC24" s="39" t="e">
        <f t="shared" si="24"/>
        <v>#DIV/0!</v>
      </c>
    </row>
    <row r="25" spans="1:29">
      <c r="A25" s="37" t="s">
        <v>34</v>
      </c>
      <c r="B25" s="67">
        <v>3</v>
      </c>
      <c r="C25" s="67" t="s">
        <v>255</v>
      </c>
      <c r="D25" s="208">
        <v>2</v>
      </c>
      <c r="E25" s="67">
        <v>4</v>
      </c>
      <c r="F25" s="67">
        <v>1</v>
      </c>
      <c r="G25" s="26"/>
      <c r="H25" s="26"/>
      <c r="I25" s="26"/>
      <c r="J25" s="26"/>
      <c r="K25" s="26"/>
      <c r="L25" s="26"/>
      <c r="M25" s="26"/>
      <c r="N25" s="26"/>
      <c r="P25" t="s">
        <v>329</v>
      </c>
      <c r="Q25" s="39">
        <f t="shared" si="13"/>
        <v>4.0905372238887375E-4</v>
      </c>
      <c r="R25" s="39" t="e">
        <f t="shared" si="14"/>
        <v>#VALUE!</v>
      </c>
      <c r="S25" s="39">
        <f t="shared" si="15"/>
        <v>2.447081854888046E-4</v>
      </c>
      <c r="T25" s="39">
        <f t="shared" si="16"/>
        <v>1.068090787716956E-3</v>
      </c>
      <c r="U25" s="39">
        <f t="shared" si="15"/>
        <v>6.7930167787514441E-5</v>
      </c>
      <c r="V25" s="39" t="e">
        <f t="shared" si="17"/>
        <v>#DIV/0!</v>
      </c>
      <c r="W25" s="39" t="e">
        <f t="shared" si="18"/>
        <v>#DIV/0!</v>
      </c>
      <c r="X25" s="39" t="e">
        <f t="shared" si="19"/>
        <v>#DIV/0!</v>
      </c>
      <c r="Y25" s="39" t="e">
        <f t="shared" si="20"/>
        <v>#DIV/0!</v>
      </c>
      <c r="Z25" s="39" t="e">
        <f t="shared" si="21"/>
        <v>#DIV/0!</v>
      </c>
      <c r="AA25" s="39" t="e">
        <f t="shared" si="22"/>
        <v>#DIV/0!</v>
      </c>
      <c r="AB25" s="39" t="e">
        <f t="shared" si="23"/>
        <v>#DIV/0!</v>
      </c>
      <c r="AC25" s="39" t="e">
        <f t="shared" si="24"/>
        <v>#DIV/0!</v>
      </c>
    </row>
    <row r="26" spans="1:29">
      <c r="A26" s="37" t="s">
        <v>37</v>
      </c>
      <c r="B26" s="67">
        <v>2</v>
      </c>
      <c r="C26" s="67" t="s">
        <v>255</v>
      </c>
      <c r="D26" s="208">
        <v>3</v>
      </c>
      <c r="E26" s="67">
        <v>0</v>
      </c>
      <c r="F26" s="67">
        <v>0</v>
      </c>
      <c r="G26" s="26"/>
      <c r="H26" s="26"/>
      <c r="I26" s="26"/>
      <c r="J26" s="26"/>
      <c r="K26" s="26"/>
      <c r="L26" s="26"/>
      <c r="M26" s="26"/>
      <c r="N26" s="26"/>
      <c r="P26" t="s">
        <v>330</v>
      </c>
      <c r="Q26" s="39">
        <f t="shared" si="13"/>
        <v>2.7270248159258248E-4</v>
      </c>
      <c r="R26" s="39" t="e">
        <f t="shared" si="14"/>
        <v>#VALUE!</v>
      </c>
      <c r="S26" s="39">
        <f t="shared" si="15"/>
        <v>3.670622782332069E-4</v>
      </c>
      <c r="T26" s="39">
        <f t="shared" si="16"/>
        <v>0</v>
      </c>
      <c r="U26" s="39">
        <f t="shared" si="15"/>
        <v>0</v>
      </c>
      <c r="V26" s="39" t="e">
        <f t="shared" si="17"/>
        <v>#DIV/0!</v>
      </c>
      <c r="W26" s="39" t="e">
        <f t="shared" si="18"/>
        <v>#DIV/0!</v>
      </c>
      <c r="X26" s="39" t="e">
        <f t="shared" si="19"/>
        <v>#DIV/0!</v>
      </c>
      <c r="Y26" s="39" t="e">
        <f t="shared" si="20"/>
        <v>#DIV/0!</v>
      </c>
      <c r="Z26" s="39" t="e">
        <f t="shared" si="21"/>
        <v>#DIV/0!</v>
      </c>
      <c r="AA26" s="39" t="e">
        <f t="shared" si="22"/>
        <v>#DIV/0!</v>
      </c>
      <c r="AB26" s="39" t="e">
        <f t="shared" si="23"/>
        <v>#DIV/0!</v>
      </c>
      <c r="AC26" s="39" t="e">
        <f t="shared" si="24"/>
        <v>#DIV/0!</v>
      </c>
    </row>
    <row r="27" spans="1:29">
      <c r="A27" s="4" t="s">
        <v>80</v>
      </c>
      <c r="B27" s="2">
        <f>SUM(B5:B26)</f>
        <v>7334</v>
      </c>
      <c r="C27" s="2">
        <f>SUM(C5:C26)</f>
        <v>31896</v>
      </c>
      <c r="D27" s="67">
        <f>SUM(D5:D26)</f>
        <v>8173</v>
      </c>
      <c r="E27" s="2">
        <f t="shared" ref="E27:F27" si="25">SUM(E5:E26)</f>
        <v>3745</v>
      </c>
      <c r="F27" s="2">
        <f t="shared" si="25"/>
        <v>14721</v>
      </c>
      <c r="G27" s="2">
        <f t="shared" ref="G27" si="26">SUM(G5:G26)</f>
        <v>0</v>
      </c>
      <c r="H27" s="2">
        <f t="shared" ref="H27" si="27">SUM(H5:H26)</f>
        <v>0</v>
      </c>
      <c r="I27" s="2">
        <f t="shared" ref="I27" si="28">SUM(I5:I26)</f>
        <v>0</v>
      </c>
      <c r="J27" s="2">
        <f t="shared" ref="J27" si="29">SUM(J5:J26)</f>
        <v>0</v>
      </c>
      <c r="K27" s="2">
        <f t="shared" ref="K27" si="30">SUM(K5:K26)</f>
        <v>0</v>
      </c>
      <c r="L27" s="2">
        <f t="shared" ref="L27" si="31">SUM(L5:L26)</f>
        <v>0</v>
      </c>
      <c r="M27" s="2">
        <f t="shared" ref="M27" si="32">SUM(M5:M26)</f>
        <v>0</v>
      </c>
      <c r="N27" s="2">
        <f t="shared" ref="N27" si="33">SUM(N5:N26)</f>
        <v>0</v>
      </c>
    </row>
    <row r="28" spans="1:29">
      <c r="A28" s="4"/>
      <c r="B28" s="2"/>
      <c r="C28" s="2"/>
      <c r="D28" s="2"/>
      <c r="E28" s="2"/>
      <c r="F28" s="2"/>
    </row>
    <row r="29" spans="1:29">
      <c r="A29" s="4"/>
      <c r="B29" s="2"/>
      <c r="C29" s="2"/>
      <c r="D29" s="2"/>
      <c r="E29" s="2"/>
      <c r="F29" s="2"/>
    </row>
    <row r="30" spans="1:29">
      <c r="A30" s="4"/>
      <c r="B30" s="2"/>
      <c r="C30" s="2"/>
      <c r="D30" s="2"/>
      <c r="E30" s="2"/>
      <c r="F30" s="2"/>
    </row>
    <row r="31" spans="1:29">
      <c r="A31" s="4"/>
      <c r="B31" s="2"/>
      <c r="C31" s="2"/>
      <c r="D31" s="2"/>
      <c r="E31" s="2"/>
      <c r="F31" s="2"/>
    </row>
    <row r="32" spans="1:29">
      <c r="A32" s="4"/>
      <c r="B32" s="2"/>
      <c r="C32" s="2"/>
      <c r="D32" s="2"/>
      <c r="E32" s="2"/>
      <c r="F32" s="2"/>
    </row>
    <row r="33" spans="1:6">
      <c r="A33" s="4"/>
      <c r="B33" s="2"/>
      <c r="C33" s="2"/>
      <c r="D33" s="2"/>
      <c r="E33" s="2"/>
      <c r="F33" s="2"/>
    </row>
    <row r="34" spans="1:6">
      <c r="A34" s="4"/>
      <c r="B34" s="2"/>
      <c r="C34" s="2"/>
      <c r="D34" s="2"/>
      <c r="E34" s="2"/>
      <c r="F34" s="2"/>
    </row>
    <row r="35" spans="1:6">
      <c r="A35" s="4"/>
      <c r="B35" s="2"/>
      <c r="C35" s="2"/>
      <c r="D35" s="2"/>
      <c r="E35" s="2"/>
      <c r="F35" s="2"/>
    </row>
    <row r="36" spans="1:6">
      <c r="A36" s="4"/>
      <c r="B36" s="2"/>
      <c r="C36" s="2"/>
      <c r="D36" s="2"/>
      <c r="E36" s="2"/>
      <c r="F36" s="2"/>
    </row>
    <row r="37" spans="1:6">
      <c r="A37" s="4"/>
      <c r="B37" s="2"/>
      <c r="C37" s="2"/>
      <c r="D37" s="2"/>
      <c r="E37" s="2"/>
      <c r="F37" s="2"/>
    </row>
    <row r="38" spans="1:6">
      <c r="A38" s="4"/>
      <c r="B38" s="2"/>
      <c r="C38" s="2"/>
      <c r="D38" s="2"/>
      <c r="E38" s="2"/>
      <c r="F38" s="2"/>
    </row>
    <row r="39" spans="1:6">
      <c r="A39" s="4"/>
      <c r="B39" s="2"/>
      <c r="C39" s="2"/>
      <c r="D39" s="2"/>
      <c r="E39" s="2"/>
      <c r="F39" s="2"/>
    </row>
    <row r="40" spans="1:6">
      <c r="A40" s="4"/>
      <c r="B40" s="2"/>
      <c r="C40" s="2"/>
      <c r="D40" s="2"/>
      <c r="E40" s="2"/>
      <c r="F40" s="2"/>
    </row>
    <row r="41" spans="1:6">
      <c r="A41" s="4"/>
      <c r="B41" s="2"/>
      <c r="C41" s="2"/>
      <c r="D41" s="2"/>
      <c r="E41" s="2"/>
      <c r="F41" s="2"/>
    </row>
    <row r="42" spans="1:6">
      <c r="A42" s="4"/>
      <c r="B42" s="2"/>
      <c r="C42" s="2"/>
      <c r="D42" s="2"/>
      <c r="E42" s="2"/>
      <c r="F42" s="2"/>
    </row>
    <row r="43" spans="1:6">
      <c r="A43" s="4"/>
      <c r="B43" s="2"/>
      <c r="C43" s="2"/>
      <c r="D43" s="2"/>
      <c r="E43" s="2"/>
      <c r="F43" s="2"/>
    </row>
    <row r="44" spans="1:6">
      <c r="A44" s="4"/>
      <c r="B44" s="2"/>
      <c r="C44" s="2"/>
      <c r="D44" s="2"/>
      <c r="E44" s="2"/>
      <c r="F44" s="2"/>
    </row>
    <row r="45" spans="1:6">
      <c r="A45" s="4"/>
      <c r="B45" s="2"/>
      <c r="C45" s="2"/>
      <c r="D45" s="2"/>
      <c r="E45" s="2"/>
      <c r="F45" s="2"/>
    </row>
    <row r="46" spans="1:6">
      <c r="A46" s="4"/>
      <c r="B46" s="2"/>
      <c r="C46" s="2"/>
      <c r="D46" s="2"/>
      <c r="E46" s="2"/>
      <c r="F46" s="2"/>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36"/>
  <sheetViews>
    <sheetView topLeftCell="J11" zoomScale="70" zoomScaleNormal="70" workbookViewId="0">
      <selection activeCell="AE41" sqref="AE41"/>
    </sheetView>
  </sheetViews>
  <sheetFormatPr baseColWidth="10" defaultColWidth="8.6640625" defaultRowHeight="15"/>
  <cols>
    <col min="2" max="3" width="12.33203125" bestFit="1" customWidth="1"/>
    <col min="4" max="4" width="12.33203125" style="20" customWidth="1"/>
    <col min="5" max="5" width="12.33203125" bestFit="1" customWidth="1"/>
    <col min="6" max="6" width="16.1640625" bestFit="1" customWidth="1"/>
    <col min="16" max="16" width="8.6640625" style="44"/>
    <col min="19" max="19" width="8.6640625" style="20"/>
    <col min="31" max="31" width="8.6640625" style="44"/>
    <col min="34" max="34" width="8.6640625" style="20"/>
  </cols>
  <sheetData>
    <row r="1" spans="1:44">
      <c r="A1" s="47" t="s">
        <v>5</v>
      </c>
    </row>
    <row r="2" spans="1:44">
      <c r="A2" s="20" t="s">
        <v>6</v>
      </c>
    </row>
    <row r="3" spans="1:44">
      <c r="A3" s="20"/>
      <c r="B3" s="9"/>
      <c r="C3" s="20" t="s">
        <v>0</v>
      </c>
      <c r="E3" s="1"/>
      <c r="F3" s="1"/>
    </row>
    <row r="4" spans="1:44" ht="85" thickBot="1">
      <c r="A4" t="s">
        <v>76</v>
      </c>
      <c r="B4" s="22" t="str">
        <f>Table_4.0_Information!$A$4</f>
        <v>Colorado</v>
      </c>
      <c r="C4" s="22" t="str">
        <f>Table_4.0_Information!$A$5</f>
        <v>Kentucky</v>
      </c>
      <c r="D4" s="22" t="s">
        <v>337</v>
      </c>
      <c r="E4" s="22" t="str">
        <f>Table_4.0_Information!$A$6</f>
        <v>New Mexico</v>
      </c>
      <c r="F4" s="22" t="s">
        <v>338</v>
      </c>
      <c r="G4" s="22" t="str">
        <f>Table_4.0_Information!$A$8</f>
        <v>5 add state in table 0</v>
      </c>
      <c r="H4" s="22" t="str">
        <f>Table_4.0_Information!$A$9</f>
        <v>6 add state in table 0</v>
      </c>
      <c r="I4" s="22" t="str">
        <f>Table_4.0_Information!$A$10</f>
        <v>7 add state in table 0</v>
      </c>
      <c r="J4" s="22" t="str">
        <f>Table_4.0_Information!$A$11</f>
        <v>8 add state in table 0</v>
      </c>
      <c r="K4" s="22" t="str">
        <f>Table_4.0_Information!$A$12</f>
        <v>9 add state in table 0</v>
      </c>
      <c r="L4" s="22" t="str">
        <f>Table_4.0_Information!$A$13</f>
        <v>10 add state in table 0</v>
      </c>
      <c r="M4" s="22" t="str">
        <f>Table_4.0_Information!$A$14</f>
        <v>11 add state in table 0</v>
      </c>
      <c r="N4" s="22" t="str">
        <f>Table_4.0_Information!$A$15</f>
        <v>12 add state in table 0</v>
      </c>
      <c r="Q4" s="22" t="str">
        <f>Table_4.0_Information!$A$4</f>
        <v>Colorado</v>
      </c>
      <c r="R4" s="22" t="str">
        <f>Table_4.0_Information!$A$5</f>
        <v>Kentucky</v>
      </c>
      <c r="S4" s="22" t="s">
        <v>337</v>
      </c>
      <c r="T4" s="22" t="str">
        <f>Table_4.0_Information!$A$6</f>
        <v>New Mexico</v>
      </c>
      <c r="U4" s="22" t="s">
        <v>338</v>
      </c>
      <c r="V4" s="22" t="str">
        <f>Table_4.0_Information!$A$8</f>
        <v>5 add state in table 0</v>
      </c>
      <c r="W4" s="22" t="str">
        <f>Table_4.0_Information!$A$9</f>
        <v>6 add state in table 0</v>
      </c>
      <c r="X4" s="22" t="str">
        <f>Table_4.0_Information!$A$10</f>
        <v>7 add state in table 0</v>
      </c>
      <c r="Y4" s="22" t="str">
        <f>Table_4.0_Information!$A$11</f>
        <v>8 add state in table 0</v>
      </c>
      <c r="Z4" s="22" t="str">
        <f>Table_4.0_Information!$A$12</f>
        <v>9 add state in table 0</v>
      </c>
      <c r="AA4" s="22" t="str">
        <f>Table_4.0_Information!$A$13</f>
        <v>10 add state in table 0</v>
      </c>
      <c r="AB4" s="22" t="str">
        <f>Table_4.0_Information!$A$14</f>
        <v>11 add state in table 0</v>
      </c>
      <c r="AC4" s="22" t="str">
        <f>Table_4.0_Information!$A$15</f>
        <v>12 add state in table 0</v>
      </c>
      <c r="AF4" s="22" t="str">
        <f>Table_4.0_Information!$A$4</f>
        <v>Colorado</v>
      </c>
      <c r="AG4" s="22" t="str">
        <f>Table_4.0_Information!$A$5</f>
        <v>Kentucky</v>
      </c>
      <c r="AH4" s="22" t="s">
        <v>337</v>
      </c>
      <c r="AI4" s="22" t="str">
        <f>Table_4.0_Information!$A$6</f>
        <v>New Mexico</v>
      </c>
      <c r="AJ4" s="22" t="s">
        <v>444</v>
      </c>
      <c r="AK4" s="22" t="str">
        <f>Table_4.0_Information!$A$8</f>
        <v>5 add state in table 0</v>
      </c>
      <c r="AL4" s="22" t="str">
        <f>Table_4.0_Information!$A$9</f>
        <v>6 add state in table 0</v>
      </c>
      <c r="AM4" s="22" t="str">
        <f>Table_4.0_Information!$A$10</f>
        <v>7 add state in table 0</v>
      </c>
      <c r="AN4" s="22" t="str">
        <f>Table_4.0_Information!$A$11</f>
        <v>8 add state in table 0</v>
      </c>
      <c r="AO4" s="22" t="str">
        <f>Table_4.0_Information!$A$12</f>
        <v>9 add state in table 0</v>
      </c>
      <c r="AP4" s="22" t="str">
        <f>Table_4.0_Information!$A$13</f>
        <v>10 add state in table 0</v>
      </c>
      <c r="AQ4" s="22" t="str">
        <f>Table_4.0_Information!$A$14</f>
        <v>11 add state in table 0</v>
      </c>
      <c r="AR4" s="22" t="str">
        <f>Table_4.0_Information!$A$15</f>
        <v>12 add state in table 0</v>
      </c>
    </row>
    <row r="5" spans="1:44" ht="17" thickTop="1" thickBot="1">
      <c r="A5" s="23">
        <v>1</v>
      </c>
      <c r="B5" s="68">
        <v>7334</v>
      </c>
      <c r="C5" s="67">
        <v>31959</v>
      </c>
      <c r="D5" s="209">
        <v>8174</v>
      </c>
      <c r="E5" s="68">
        <v>3739</v>
      </c>
      <c r="F5" s="68">
        <v>14722</v>
      </c>
      <c r="G5" s="24"/>
      <c r="H5" s="26"/>
      <c r="I5" s="24"/>
      <c r="J5" s="26"/>
      <c r="K5" s="26"/>
      <c r="L5" s="26"/>
      <c r="M5" s="26"/>
      <c r="N5" s="26"/>
      <c r="P5" s="44">
        <v>1</v>
      </c>
      <c r="Q5" s="39">
        <f>B5/B$35</f>
        <v>0.80717587497248511</v>
      </c>
      <c r="R5" s="39">
        <f>C5/C$35</f>
        <v>0.87978307548312507</v>
      </c>
      <c r="S5" s="39">
        <f t="shared" ref="S5:AC5" si="0">D5/D$35</f>
        <v>0.69779750725627454</v>
      </c>
      <c r="T5" s="39">
        <f t="shared" si="0"/>
        <v>0.79722814498933903</v>
      </c>
      <c r="U5" s="39">
        <f t="shared" si="0"/>
        <v>0.81072746296602238</v>
      </c>
      <c r="V5" s="39" t="e">
        <f t="shared" si="0"/>
        <v>#DIV/0!</v>
      </c>
      <c r="W5" s="39" t="e">
        <f t="shared" si="0"/>
        <v>#DIV/0!</v>
      </c>
      <c r="X5" s="39" t="e">
        <f t="shared" si="0"/>
        <v>#DIV/0!</v>
      </c>
      <c r="Y5" s="39" t="e">
        <f t="shared" si="0"/>
        <v>#DIV/0!</v>
      </c>
      <c r="Z5" s="39" t="e">
        <f t="shared" si="0"/>
        <v>#DIV/0!</v>
      </c>
      <c r="AA5" s="39" t="e">
        <f t="shared" si="0"/>
        <v>#DIV/0!</v>
      </c>
      <c r="AB5" s="39" t="e">
        <f t="shared" si="0"/>
        <v>#DIV/0!</v>
      </c>
      <c r="AC5" s="39" t="e">
        <f t="shared" si="0"/>
        <v>#DIV/0!</v>
      </c>
      <c r="AE5" s="44">
        <v>1</v>
      </c>
      <c r="AF5" s="39">
        <f>B5/B$35</f>
        <v>0.80717587497248511</v>
      </c>
      <c r="AG5" s="39">
        <f>C5/C$35</f>
        <v>0.87978307548312507</v>
      </c>
      <c r="AH5" s="39">
        <f t="shared" ref="AH5:AR5" si="1">D5/D$35</f>
        <v>0.69779750725627454</v>
      </c>
      <c r="AI5" s="39">
        <f t="shared" si="1"/>
        <v>0.79722814498933903</v>
      </c>
      <c r="AJ5" s="39">
        <f t="shared" si="1"/>
        <v>0.81072746296602238</v>
      </c>
      <c r="AK5" s="39" t="e">
        <f t="shared" si="1"/>
        <v>#DIV/0!</v>
      </c>
      <c r="AL5" s="39" t="e">
        <f t="shared" si="1"/>
        <v>#DIV/0!</v>
      </c>
      <c r="AM5" s="39" t="e">
        <f t="shared" si="1"/>
        <v>#DIV/0!</v>
      </c>
      <c r="AN5" s="39" t="e">
        <f t="shared" si="1"/>
        <v>#DIV/0!</v>
      </c>
      <c r="AO5" s="39" t="e">
        <f t="shared" si="1"/>
        <v>#DIV/0!</v>
      </c>
      <c r="AP5" s="39" t="e">
        <f t="shared" si="1"/>
        <v>#DIV/0!</v>
      </c>
      <c r="AQ5" s="39" t="e">
        <f t="shared" si="1"/>
        <v>#DIV/0!</v>
      </c>
      <c r="AR5" s="39" t="e">
        <f t="shared" si="1"/>
        <v>#DIV/0!</v>
      </c>
    </row>
    <row r="6" spans="1:44" ht="16" thickBot="1">
      <c r="A6" s="23">
        <v>2</v>
      </c>
      <c r="B6" s="68">
        <v>929</v>
      </c>
      <c r="C6" s="67">
        <v>2971</v>
      </c>
      <c r="D6" s="209">
        <v>1175</v>
      </c>
      <c r="E6" s="68">
        <v>499</v>
      </c>
      <c r="F6" s="68">
        <v>2199</v>
      </c>
      <c r="G6" s="24"/>
      <c r="H6" s="26"/>
      <c r="I6" s="24"/>
      <c r="J6" s="26"/>
      <c r="K6" s="26"/>
      <c r="L6" s="26"/>
      <c r="M6" s="26"/>
      <c r="N6" s="26"/>
      <c r="P6" s="44">
        <v>2</v>
      </c>
      <c r="Q6" s="39">
        <f t="shared" ref="Q6:Q11" si="2">B6/B$35</f>
        <v>0.10224521241470394</v>
      </c>
      <c r="R6" s="39">
        <f t="shared" ref="R6:R11" si="3">C6/C$35</f>
        <v>8.1787149699939443E-2</v>
      </c>
      <c r="S6" s="39">
        <f t="shared" ref="S6:U11" si="4">D6/D$35</f>
        <v>0.10030732456889192</v>
      </c>
      <c r="T6" s="39">
        <f t="shared" ref="T6:T11" si="5">E6/E$35</f>
        <v>0.10639658848614073</v>
      </c>
      <c r="U6" s="39">
        <f t="shared" si="4"/>
        <v>0.12109697670576573</v>
      </c>
      <c r="V6" s="39" t="e">
        <f t="shared" ref="V6:V11" si="6">G6/G$35</f>
        <v>#DIV/0!</v>
      </c>
      <c r="W6" s="39" t="e">
        <f t="shared" ref="W6:W11" si="7">H6/H$35</f>
        <v>#DIV/0!</v>
      </c>
      <c r="X6" s="39" t="e">
        <f t="shared" ref="X6:X11" si="8">I6/I$35</f>
        <v>#DIV/0!</v>
      </c>
      <c r="Y6" s="39" t="e">
        <f t="shared" ref="Y6:Y11" si="9">J6/J$35</f>
        <v>#DIV/0!</v>
      </c>
      <c r="Z6" s="39" t="e">
        <f t="shared" ref="Z6:Z11" si="10">K6/K$35</f>
        <v>#DIV/0!</v>
      </c>
      <c r="AA6" s="39" t="e">
        <f t="shared" ref="AA6:AA11" si="11">L6/L$35</f>
        <v>#DIV/0!</v>
      </c>
      <c r="AB6" s="39" t="e">
        <f t="shared" ref="AB6:AB11" si="12">M6/M$35</f>
        <v>#DIV/0!</v>
      </c>
      <c r="AC6" s="39" t="e">
        <f t="shared" ref="AC6:AC11" si="13">N6/N$35</f>
        <v>#DIV/0!</v>
      </c>
      <c r="AE6" s="44" t="s">
        <v>134</v>
      </c>
      <c r="AF6" s="39">
        <f>(SUM(B6:B9)/B$35)</f>
        <v>0.17829627999119524</v>
      </c>
      <c r="AG6" s="39">
        <f>(SUM(C6:C9)/C$35)</f>
        <v>0.11537190992677421</v>
      </c>
      <c r="AH6" s="39">
        <f t="shared" ref="AH6:AR6" si="14">(SUM(D6:D9)/D$35)</f>
        <v>0.21879801946388935</v>
      </c>
      <c r="AI6" s="39">
        <f t="shared" si="14"/>
        <v>0.18059701492537314</v>
      </c>
      <c r="AJ6" s="39">
        <f t="shared" si="14"/>
        <v>0.18024120270940031</v>
      </c>
      <c r="AK6" s="39" t="e">
        <f t="shared" si="14"/>
        <v>#DIV/0!</v>
      </c>
      <c r="AL6" s="39" t="e">
        <f t="shared" si="14"/>
        <v>#DIV/0!</v>
      </c>
      <c r="AM6" s="39" t="e">
        <f t="shared" si="14"/>
        <v>#DIV/0!</v>
      </c>
      <c r="AN6" s="39" t="e">
        <f t="shared" si="14"/>
        <v>#DIV/0!</v>
      </c>
      <c r="AO6" s="39" t="e">
        <f t="shared" si="14"/>
        <v>#DIV/0!</v>
      </c>
      <c r="AP6" s="39" t="e">
        <f t="shared" si="14"/>
        <v>#DIV/0!</v>
      </c>
      <c r="AQ6" s="39" t="e">
        <f t="shared" si="14"/>
        <v>#DIV/0!</v>
      </c>
      <c r="AR6" s="39" t="e">
        <f t="shared" si="14"/>
        <v>#DIV/0!</v>
      </c>
    </row>
    <row r="7" spans="1:44" ht="16" thickBot="1">
      <c r="A7" s="23">
        <v>3</v>
      </c>
      <c r="B7" s="68">
        <v>386</v>
      </c>
      <c r="C7" s="67">
        <v>794</v>
      </c>
      <c r="D7" s="209">
        <v>662</v>
      </c>
      <c r="E7" s="68">
        <v>200</v>
      </c>
      <c r="F7" s="68">
        <v>694</v>
      </c>
      <c r="G7" s="24"/>
      <c r="H7" s="26"/>
      <c r="I7" s="24"/>
      <c r="J7" s="26"/>
      <c r="K7" s="26"/>
      <c r="L7" s="26"/>
      <c r="M7" s="26"/>
      <c r="N7" s="26"/>
      <c r="P7" s="44">
        <v>3</v>
      </c>
      <c r="Q7" s="39">
        <f t="shared" si="2"/>
        <v>4.2482940788025531E-2</v>
      </c>
      <c r="R7" s="39">
        <f t="shared" si="3"/>
        <v>2.1857622639431813E-2</v>
      </c>
      <c r="S7" s="39">
        <f t="shared" si="4"/>
        <v>5.651357350179273E-2</v>
      </c>
      <c r="T7" s="39">
        <f t="shared" si="5"/>
        <v>4.2643923240938165E-2</v>
      </c>
      <c r="U7" s="39">
        <f t="shared" si="4"/>
        <v>3.8217963544248029E-2</v>
      </c>
      <c r="V7" s="39" t="e">
        <f t="shared" si="6"/>
        <v>#DIV/0!</v>
      </c>
      <c r="W7" s="39" t="e">
        <f t="shared" si="7"/>
        <v>#DIV/0!</v>
      </c>
      <c r="X7" s="39" t="e">
        <f t="shared" si="8"/>
        <v>#DIV/0!</v>
      </c>
      <c r="Y7" s="39" t="e">
        <f t="shared" si="9"/>
        <v>#DIV/0!</v>
      </c>
      <c r="Z7" s="39" t="e">
        <f t="shared" si="10"/>
        <v>#DIV/0!</v>
      </c>
      <c r="AA7" s="39" t="e">
        <f t="shared" si="11"/>
        <v>#DIV/0!</v>
      </c>
      <c r="AB7" s="39" t="e">
        <f t="shared" si="12"/>
        <v>#DIV/0!</v>
      </c>
      <c r="AC7" s="39" t="e">
        <f t="shared" si="13"/>
        <v>#DIV/0!</v>
      </c>
      <c r="AE7" s="44" t="s">
        <v>135</v>
      </c>
      <c r="AF7" s="39">
        <f>(SUM(B10:B14)/B$35)</f>
        <v>1.1886418666079684E-2</v>
      </c>
      <c r="AG7" s="39">
        <f>(SUM(C10:C14)/C$35)</f>
        <v>3.7438749105324011E-3</v>
      </c>
      <c r="AH7" s="39">
        <f t="shared" ref="AH7:AR7" si="15">(SUM(D10:D14)/D$35)</f>
        <v>5.5489158272152977E-2</v>
      </c>
      <c r="AI7" s="39">
        <f t="shared" si="15"/>
        <v>1.5138592750533048E-2</v>
      </c>
      <c r="AJ7" s="39">
        <f t="shared" si="15"/>
        <v>7.9850212016080186E-3</v>
      </c>
      <c r="AK7" s="39" t="e">
        <f t="shared" si="15"/>
        <v>#DIV/0!</v>
      </c>
      <c r="AL7" s="39" t="e">
        <f t="shared" si="15"/>
        <v>#DIV/0!</v>
      </c>
      <c r="AM7" s="39" t="e">
        <f t="shared" si="15"/>
        <v>#DIV/0!</v>
      </c>
      <c r="AN7" s="39" t="e">
        <f t="shared" si="15"/>
        <v>#DIV/0!</v>
      </c>
      <c r="AO7" s="39" t="e">
        <f t="shared" si="15"/>
        <v>#DIV/0!</v>
      </c>
      <c r="AP7" s="39" t="e">
        <f t="shared" si="15"/>
        <v>#DIV/0!</v>
      </c>
      <c r="AQ7" s="39" t="e">
        <f t="shared" si="15"/>
        <v>#DIV/0!</v>
      </c>
      <c r="AR7" s="39" t="e">
        <f t="shared" si="15"/>
        <v>#DIV/0!</v>
      </c>
    </row>
    <row r="8" spans="1:44" ht="16" thickBot="1">
      <c r="A8" s="23">
        <v>4</v>
      </c>
      <c r="B8" s="68">
        <v>199</v>
      </c>
      <c r="C8" s="67">
        <v>294</v>
      </c>
      <c r="D8" s="209">
        <v>431</v>
      </c>
      <c r="E8" s="68">
        <v>96</v>
      </c>
      <c r="F8" s="68">
        <v>277</v>
      </c>
      <c r="G8" s="26"/>
      <c r="H8" s="26"/>
      <c r="I8" s="26"/>
      <c r="J8" s="26"/>
      <c r="K8" s="26"/>
      <c r="L8" s="26"/>
      <c r="M8" s="26"/>
      <c r="N8" s="26"/>
      <c r="P8" s="44">
        <v>4</v>
      </c>
      <c r="Q8" s="39">
        <f t="shared" si="2"/>
        <v>2.190182698657275E-2</v>
      </c>
      <c r="R8" s="39">
        <f t="shared" si="3"/>
        <v>8.0933766448273957E-3</v>
      </c>
      <c r="S8" s="39">
        <f t="shared" si="4"/>
        <v>3.6793580331227593E-2</v>
      </c>
      <c r="T8" s="39">
        <f t="shared" si="5"/>
        <v>2.0469083155650322E-2</v>
      </c>
      <c r="U8" s="39">
        <f t="shared" si="4"/>
        <v>1.5254143950658076E-2</v>
      </c>
      <c r="V8" s="39" t="e">
        <f t="shared" si="6"/>
        <v>#DIV/0!</v>
      </c>
      <c r="W8" s="39" t="e">
        <f t="shared" si="7"/>
        <v>#DIV/0!</v>
      </c>
      <c r="X8" s="39" t="e">
        <f t="shared" si="8"/>
        <v>#DIV/0!</v>
      </c>
      <c r="Y8" s="39" t="e">
        <f t="shared" si="9"/>
        <v>#DIV/0!</v>
      </c>
      <c r="Z8" s="39" t="e">
        <f t="shared" si="10"/>
        <v>#DIV/0!</v>
      </c>
      <c r="AA8" s="39" t="e">
        <f t="shared" si="11"/>
        <v>#DIV/0!</v>
      </c>
      <c r="AB8" s="39" t="e">
        <f t="shared" si="12"/>
        <v>#DIV/0!</v>
      </c>
      <c r="AC8" s="39" t="e">
        <f t="shared" si="13"/>
        <v>#DIV/0!</v>
      </c>
      <c r="AE8" s="44" t="s">
        <v>136</v>
      </c>
      <c r="AF8" s="39">
        <f>(SUM(B15:B19)/B$35)</f>
        <v>2.0911292097732775E-3</v>
      </c>
      <c r="AG8" s="39">
        <f>(SUM(C15:C19)/C$35)</f>
        <v>8.5338325166547382E-4</v>
      </c>
      <c r="AH8" s="39">
        <f t="shared" ref="AH8:AQ8" si="16">(SUM(D15:D19)/D$35)</f>
        <v>1.7671162711285642E-2</v>
      </c>
      <c r="AI8" s="39">
        <f t="shared" si="16"/>
        <v>5.1172707889125804E-3</v>
      </c>
      <c r="AJ8" s="39">
        <f t="shared" si="16"/>
        <v>1.0463131229693264E-3</v>
      </c>
      <c r="AK8" s="39" t="e">
        <f t="shared" si="16"/>
        <v>#DIV/0!</v>
      </c>
      <c r="AL8" s="39" t="e">
        <f t="shared" si="16"/>
        <v>#DIV/0!</v>
      </c>
      <c r="AM8" s="39" t="e">
        <f t="shared" si="16"/>
        <v>#DIV/0!</v>
      </c>
      <c r="AN8" s="39" t="e">
        <f t="shared" si="16"/>
        <v>#DIV/0!</v>
      </c>
      <c r="AO8" s="39" t="e">
        <f t="shared" si="16"/>
        <v>#DIV/0!</v>
      </c>
      <c r="AP8" s="39" t="e">
        <f t="shared" si="16"/>
        <v>#DIV/0!</v>
      </c>
      <c r="AQ8" s="39" t="e">
        <f t="shared" si="16"/>
        <v>#DIV/0!</v>
      </c>
      <c r="AR8" s="39" t="e">
        <f t="shared" ref="AR8" si="17">(SUM(N5:N19)/N$35)</f>
        <v>#DIV/0!</v>
      </c>
    </row>
    <row r="9" spans="1:44" ht="16" thickBot="1">
      <c r="A9" s="23">
        <v>5</v>
      </c>
      <c r="B9" s="68">
        <v>106</v>
      </c>
      <c r="C9" s="67">
        <v>132</v>
      </c>
      <c r="D9" s="209">
        <v>295</v>
      </c>
      <c r="E9" s="68">
        <v>52</v>
      </c>
      <c r="F9" s="68">
        <v>103</v>
      </c>
      <c r="G9" s="26"/>
      <c r="H9" s="26"/>
      <c r="I9" s="26"/>
      <c r="J9" s="26"/>
      <c r="K9" s="26"/>
      <c r="L9" s="26"/>
      <c r="M9" s="26"/>
      <c r="N9" s="26"/>
      <c r="P9" s="44">
        <v>5</v>
      </c>
      <c r="Q9" s="39">
        <f t="shared" si="2"/>
        <v>1.1666299801893022E-2</v>
      </c>
      <c r="R9" s="39">
        <f t="shared" si="3"/>
        <v>3.6337609425755655E-3</v>
      </c>
      <c r="S9" s="39">
        <f t="shared" si="4"/>
        <v>2.5183541061977122E-2</v>
      </c>
      <c r="T9" s="39">
        <f t="shared" si="5"/>
        <v>1.1087420042643924E-2</v>
      </c>
      <c r="U9" s="39">
        <f t="shared" si="4"/>
        <v>5.6721185087284546E-3</v>
      </c>
      <c r="V9" s="39" t="e">
        <f t="shared" si="6"/>
        <v>#DIV/0!</v>
      </c>
      <c r="W9" s="39" t="e">
        <f t="shared" si="7"/>
        <v>#DIV/0!</v>
      </c>
      <c r="X9" s="39" t="e">
        <f t="shared" si="8"/>
        <v>#DIV/0!</v>
      </c>
      <c r="Y9" s="39" t="e">
        <f t="shared" si="9"/>
        <v>#DIV/0!</v>
      </c>
      <c r="Z9" s="39" t="e">
        <f t="shared" si="10"/>
        <v>#DIV/0!</v>
      </c>
      <c r="AA9" s="39" t="e">
        <f t="shared" si="11"/>
        <v>#DIV/0!</v>
      </c>
      <c r="AB9" s="39" t="e">
        <f t="shared" si="12"/>
        <v>#DIV/0!</v>
      </c>
      <c r="AC9" s="39" t="e">
        <f t="shared" si="13"/>
        <v>#DIV/0!</v>
      </c>
      <c r="AE9" s="44" t="s">
        <v>137</v>
      </c>
      <c r="AF9" s="39">
        <f>(SUM(B20:B34)/B$35)</f>
        <v>5.5029716046665195E-4</v>
      </c>
      <c r="AG9" s="39">
        <f>(SUM(C20:C34)/C$35)</f>
        <v>2.4775642790287949E-4</v>
      </c>
      <c r="AH9" s="39">
        <f t="shared" ref="AH9:AR9" si="18">(SUM(D20:D34)/D$35)</f>
        <v>1.0244152296397474E-2</v>
      </c>
      <c r="AI9" s="39">
        <f t="shared" si="18"/>
        <v>1.9189765458422175E-3</v>
      </c>
      <c r="AJ9" s="39">
        <f t="shared" si="18"/>
        <v>0</v>
      </c>
      <c r="AK9" s="39" t="e">
        <f t="shared" si="18"/>
        <v>#DIV/0!</v>
      </c>
      <c r="AL9" s="39" t="e">
        <f t="shared" si="18"/>
        <v>#DIV/0!</v>
      </c>
      <c r="AM9" s="39" t="e">
        <f t="shared" si="18"/>
        <v>#DIV/0!</v>
      </c>
      <c r="AN9" s="39" t="e">
        <f t="shared" si="18"/>
        <v>#DIV/0!</v>
      </c>
      <c r="AO9" s="39" t="e">
        <f t="shared" si="18"/>
        <v>#DIV/0!</v>
      </c>
      <c r="AP9" s="39" t="e">
        <f t="shared" si="18"/>
        <v>#DIV/0!</v>
      </c>
      <c r="AQ9" s="39" t="e">
        <f t="shared" si="18"/>
        <v>#DIV/0!</v>
      </c>
      <c r="AR9" s="39" t="e">
        <f t="shared" si="18"/>
        <v>#DIV/0!</v>
      </c>
    </row>
    <row r="10" spans="1:44" ht="16" thickBot="1">
      <c r="A10" s="23">
        <v>6</v>
      </c>
      <c r="B10" s="68">
        <v>55</v>
      </c>
      <c r="C10" s="67">
        <v>60</v>
      </c>
      <c r="D10" s="209">
        <v>196</v>
      </c>
      <c r="E10" s="68">
        <v>30</v>
      </c>
      <c r="F10" s="68">
        <v>59</v>
      </c>
      <c r="G10" s="26"/>
      <c r="H10" s="26"/>
      <c r="I10" s="26"/>
      <c r="J10" s="26"/>
      <c r="K10" s="26"/>
      <c r="L10" s="26"/>
      <c r="M10" s="26"/>
      <c r="N10" s="26"/>
      <c r="P10" s="44">
        <v>6</v>
      </c>
      <c r="Q10" s="39">
        <f t="shared" si="2"/>
        <v>6.0532687651331718E-3</v>
      </c>
      <c r="R10" s="39">
        <f t="shared" si="3"/>
        <v>1.6517095193525299E-3</v>
      </c>
      <c r="S10" s="39">
        <f t="shared" si="4"/>
        <v>1.6732115417449206E-2</v>
      </c>
      <c r="T10" s="39">
        <f t="shared" si="5"/>
        <v>6.3965884861407248E-3</v>
      </c>
      <c r="U10" s="39">
        <f t="shared" si="4"/>
        <v>3.2490775923784349E-3</v>
      </c>
      <c r="V10" s="39" t="e">
        <f t="shared" si="6"/>
        <v>#DIV/0!</v>
      </c>
      <c r="W10" s="39" t="e">
        <f t="shared" si="7"/>
        <v>#DIV/0!</v>
      </c>
      <c r="X10" s="39" t="e">
        <f t="shared" si="8"/>
        <v>#DIV/0!</v>
      </c>
      <c r="Y10" s="39" t="e">
        <f t="shared" si="9"/>
        <v>#DIV/0!</v>
      </c>
      <c r="Z10" s="39" t="e">
        <f t="shared" si="10"/>
        <v>#DIV/0!</v>
      </c>
      <c r="AA10" s="39" t="e">
        <f t="shared" si="11"/>
        <v>#DIV/0!</v>
      </c>
      <c r="AB10" s="39" t="e">
        <f t="shared" si="12"/>
        <v>#DIV/0!</v>
      </c>
      <c r="AC10" s="39" t="e">
        <f t="shared" si="13"/>
        <v>#DIV/0!</v>
      </c>
      <c r="AF10" s="20"/>
      <c r="AG10" s="20"/>
      <c r="AI10" s="20"/>
      <c r="AJ10" s="20"/>
      <c r="AK10" s="20"/>
      <c r="AL10" s="20"/>
      <c r="AM10" s="20"/>
      <c r="AN10" s="20"/>
      <c r="AO10" s="20"/>
      <c r="AP10" s="20"/>
      <c r="AQ10" s="20"/>
      <c r="AR10" s="20"/>
    </row>
    <row r="11" spans="1:44" ht="16" thickBot="1">
      <c r="A11" s="23">
        <v>7</v>
      </c>
      <c r="B11" s="68">
        <v>24</v>
      </c>
      <c r="C11" s="67">
        <v>32</v>
      </c>
      <c r="D11" s="209">
        <v>163</v>
      </c>
      <c r="E11" s="68">
        <v>13</v>
      </c>
      <c r="F11" s="68">
        <v>39</v>
      </c>
      <c r="G11" s="26"/>
      <c r="H11" s="26"/>
      <c r="I11" s="26"/>
      <c r="J11" s="26"/>
      <c r="K11" s="26"/>
      <c r="L11" s="26"/>
      <c r="M11" s="26"/>
      <c r="N11" s="26"/>
      <c r="P11" s="44">
        <v>7</v>
      </c>
      <c r="Q11" s="39">
        <f t="shared" si="2"/>
        <v>2.6414263702399295E-3</v>
      </c>
      <c r="R11" s="39">
        <f t="shared" si="3"/>
        <v>8.809117436546826E-4</v>
      </c>
      <c r="S11" s="39">
        <f t="shared" si="4"/>
        <v>1.3914973535939901E-2</v>
      </c>
      <c r="T11" s="39">
        <f t="shared" si="5"/>
        <v>2.7718550106609809E-3</v>
      </c>
      <c r="U11" s="39">
        <f t="shared" si="4"/>
        <v>2.1476953576738808E-3</v>
      </c>
      <c r="V11" s="39" t="e">
        <f t="shared" si="6"/>
        <v>#DIV/0!</v>
      </c>
      <c r="W11" s="39" t="e">
        <f t="shared" si="7"/>
        <v>#DIV/0!</v>
      </c>
      <c r="X11" s="39" t="e">
        <f t="shared" si="8"/>
        <v>#DIV/0!</v>
      </c>
      <c r="Y11" s="39" t="e">
        <f t="shared" si="9"/>
        <v>#DIV/0!</v>
      </c>
      <c r="Z11" s="39" t="e">
        <f t="shared" si="10"/>
        <v>#DIV/0!</v>
      </c>
      <c r="AA11" s="39" t="e">
        <f t="shared" si="11"/>
        <v>#DIV/0!</v>
      </c>
      <c r="AB11" s="39" t="e">
        <f t="shared" si="12"/>
        <v>#DIV/0!</v>
      </c>
      <c r="AC11" s="39" t="e">
        <f t="shared" si="13"/>
        <v>#DIV/0!</v>
      </c>
      <c r="AF11" s="20"/>
      <c r="AG11" s="20"/>
      <c r="AI11" s="20"/>
      <c r="AJ11" s="20"/>
      <c r="AK11" s="20"/>
      <c r="AL11" s="20"/>
      <c r="AM11" s="20"/>
      <c r="AN11" s="20"/>
      <c r="AO11" s="20"/>
      <c r="AP11" s="20"/>
      <c r="AQ11" s="20"/>
      <c r="AR11" s="20"/>
    </row>
    <row r="12" spans="1:44" ht="16" thickBot="1">
      <c r="A12" s="23">
        <v>8</v>
      </c>
      <c r="B12" s="68">
        <v>14</v>
      </c>
      <c r="C12" s="67">
        <v>21</v>
      </c>
      <c r="D12" s="209">
        <v>128</v>
      </c>
      <c r="E12" s="68">
        <v>10</v>
      </c>
      <c r="F12" s="68">
        <v>23</v>
      </c>
      <c r="G12" s="26"/>
      <c r="H12" s="26"/>
      <c r="I12" s="26"/>
      <c r="J12" s="26"/>
      <c r="K12" s="26"/>
      <c r="L12" s="26"/>
      <c r="M12" s="26"/>
      <c r="N12" s="26"/>
      <c r="P12" s="44">
        <v>8</v>
      </c>
      <c r="Q12" s="39">
        <f t="shared" ref="Q12:Q34" si="19">B12/B$35</f>
        <v>1.5408320493066256E-3</v>
      </c>
      <c r="R12" s="39">
        <f t="shared" ref="R12:R34" si="20">C12/C$35</f>
        <v>5.7809833177338544E-4</v>
      </c>
      <c r="S12" s="39">
        <f t="shared" ref="S12:U34" si="21">D12/D$35</f>
        <v>1.0927095782823972E-2</v>
      </c>
      <c r="T12" s="39">
        <f t="shared" ref="T12:T34" si="22">E12/E$35</f>
        <v>2.1321961620469083E-3</v>
      </c>
      <c r="U12" s="39">
        <f t="shared" si="21"/>
        <v>1.2665895699102373E-3</v>
      </c>
      <c r="V12" s="39" t="e">
        <f t="shared" ref="V12:V34" si="23">G12/G$35</f>
        <v>#DIV/0!</v>
      </c>
      <c r="W12" s="39" t="e">
        <f t="shared" ref="W12:W34" si="24">H12/H$35</f>
        <v>#DIV/0!</v>
      </c>
      <c r="X12" s="39" t="e">
        <f t="shared" ref="X12:X34" si="25">I12/I$35</f>
        <v>#DIV/0!</v>
      </c>
      <c r="Y12" s="39" t="e">
        <f t="shared" ref="Y12:Y34" si="26">J12/J$35</f>
        <v>#DIV/0!</v>
      </c>
      <c r="Z12" s="39" t="e">
        <f t="shared" ref="Z12:Z34" si="27">K12/K$35</f>
        <v>#DIV/0!</v>
      </c>
      <c r="AA12" s="39" t="e">
        <f t="shared" ref="AA12:AA34" si="28">L12/L$35</f>
        <v>#DIV/0!</v>
      </c>
      <c r="AB12" s="39" t="e">
        <f t="shared" ref="AB12:AB34" si="29">M12/M$35</f>
        <v>#DIV/0!</v>
      </c>
      <c r="AC12" s="39" t="e">
        <f t="shared" ref="AC12:AC34" si="30">N12/N$35</f>
        <v>#DIV/0!</v>
      </c>
      <c r="AF12" s="20"/>
      <c r="AG12" s="20"/>
      <c r="AI12" s="20"/>
      <c r="AJ12" s="20"/>
      <c r="AK12" s="20"/>
      <c r="AL12" s="20"/>
      <c r="AM12" s="20"/>
      <c r="AN12" s="20"/>
      <c r="AO12" s="20"/>
      <c r="AP12" s="20"/>
      <c r="AQ12" s="20"/>
      <c r="AR12" s="20"/>
    </row>
    <row r="13" spans="1:44" ht="16" thickBot="1">
      <c r="A13" s="23">
        <v>9</v>
      </c>
      <c r="B13" s="68">
        <v>8</v>
      </c>
      <c r="C13" s="67">
        <v>14</v>
      </c>
      <c r="D13" s="209">
        <v>92</v>
      </c>
      <c r="E13" s="68">
        <v>13</v>
      </c>
      <c r="F13" s="68">
        <v>18</v>
      </c>
      <c r="G13" s="26"/>
      <c r="H13" s="26"/>
      <c r="I13" s="26"/>
      <c r="J13" s="26"/>
      <c r="K13" s="26"/>
      <c r="L13" s="26"/>
      <c r="M13" s="26"/>
      <c r="N13" s="26"/>
      <c r="P13" s="44">
        <v>9</v>
      </c>
      <c r="Q13" s="39">
        <f t="shared" si="19"/>
        <v>8.8047545674664314E-4</v>
      </c>
      <c r="R13" s="39">
        <f t="shared" si="20"/>
        <v>3.8539888784892362E-4</v>
      </c>
      <c r="S13" s="39">
        <f t="shared" si="21"/>
        <v>7.8538500939047302E-3</v>
      </c>
      <c r="T13" s="39">
        <f t="shared" si="22"/>
        <v>2.7718550106609809E-3</v>
      </c>
      <c r="U13" s="39">
        <f t="shared" si="21"/>
        <v>9.9124401123409879E-4</v>
      </c>
      <c r="V13" s="39" t="e">
        <f t="shared" si="23"/>
        <v>#DIV/0!</v>
      </c>
      <c r="W13" s="39" t="e">
        <f t="shared" si="24"/>
        <v>#DIV/0!</v>
      </c>
      <c r="X13" s="39" t="e">
        <f t="shared" si="25"/>
        <v>#DIV/0!</v>
      </c>
      <c r="Y13" s="39" t="e">
        <f t="shared" si="26"/>
        <v>#DIV/0!</v>
      </c>
      <c r="Z13" s="39" t="e">
        <f t="shared" si="27"/>
        <v>#DIV/0!</v>
      </c>
      <c r="AA13" s="39" t="e">
        <f t="shared" si="28"/>
        <v>#DIV/0!</v>
      </c>
      <c r="AB13" s="39" t="e">
        <f t="shared" si="29"/>
        <v>#DIV/0!</v>
      </c>
      <c r="AC13" s="39" t="e">
        <f t="shared" si="30"/>
        <v>#DIV/0!</v>
      </c>
      <c r="AF13" s="20"/>
      <c r="AG13" s="20"/>
      <c r="AI13" s="20"/>
      <c r="AJ13" s="20"/>
      <c r="AK13" s="20"/>
      <c r="AL13" s="20"/>
      <c r="AM13" s="20"/>
      <c r="AN13" s="20"/>
      <c r="AO13" s="20"/>
      <c r="AP13" s="20"/>
      <c r="AQ13" s="20"/>
      <c r="AR13" s="20"/>
    </row>
    <row r="14" spans="1:44" ht="16" thickBot="1">
      <c r="A14" s="23">
        <v>10</v>
      </c>
      <c r="B14" s="68">
        <v>7</v>
      </c>
      <c r="C14" s="67">
        <v>9</v>
      </c>
      <c r="D14" s="209">
        <v>71</v>
      </c>
      <c r="E14" s="68">
        <v>5</v>
      </c>
      <c r="F14" s="68">
        <v>6</v>
      </c>
      <c r="G14" s="26"/>
      <c r="H14" s="26"/>
      <c r="I14" s="26"/>
      <c r="J14" s="26"/>
      <c r="K14" s="26"/>
      <c r="L14" s="26"/>
      <c r="M14" s="26"/>
      <c r="N14" s="26"/>
      <c r="P14" s="44">
        <v>10</v>
      </c>
      <c r="Q14" s="39">
        <f t="shared" si="19"/>
        <v>7.7041602465331282E-4</v>
      </c>
      <c r="R14" s="39">
        <f t="shared" si="20"/>
        <v>2.4775642790287949E-4</v>
      </c>
      <c r="S14" s="39">
        <f t="shared" si="21"/>
        <v>6.0611234420351713E-3</v>
      </c>
      <c r="T14" s="39">
        <f t="shared" si="22"/>
        <v>1.0660980810234541E-3</v>
      </c>
      <c r="U14" s="39">
        <f t="shared" si="21"/>
        <v>3.3041467041136624E-4</v>
      </c>
      <c r="V14" s="39" t="e">
        <f t="shared" si="23"/>
        <v>#DIV/0!</v>
      </c>
      <c r="W14" s="39" t="e">
        <f t="shared" si="24"/>
        <v>#DIV/0!</v>
      </c>
      <c r="X14" s="39" t="e">
        <f t="shared" si="25"/>
        <v>#DIV/0!</v>
      </c>
      <c r="Y14" s="39" t="e">
        <f t="shared" si="26"/>
        <v>#DIV/0!</v>
      </c>
      <c r="Z14" s="39" t="e">
        <f t="shared" si="27"/>
        <v>#DIV/0!</v>
      </c>
      <c r="AA14" s="39" t="e">
        <f t="shared" si="28"/>
        <v>#DIV/0!</v>
      </c>
      <c r="AB14" s="39" t="e">
        <f t="shared" si="29"/>
        <v>#DIV/0!</v>
      </c>
      <c r="AC14" s="39" t="e">
        <f t="shared" si="30"/>
        <v>#DIV/0!</v>
      </c>
      <c r="AF14" s="20"/>
      <c r="AG14" s="20"/>
      <c r="AI14" s="20"/>
      <c r="AJ14" s="20"/>
      <c r="AK14" s="20"/>
      <c r="AL14" s="20"/>
      <c r="AM14" s="20"/>
      <c r="AN14" s="20"/>
      <c r="AO14" s="20"/>
      <c r="AP14" s="20"/>
      <c r="AQ14" s="20"/>
      <c r="AR14" s="20"/>
    </row>
    <row r="15" spans="1:44" ht="16" thickBot="1">
      <c r="A15" s="23">
        <v>11</v>
      </c>
      <c r="B15" s="68">
        <v>7</v>
      </c>
      <c r="C15" s="67">
        <v>11</v>
      </c>
      <c r="D15" s="209">
        <v>59</v>
      </c>
      <c r="E15" s="68">
        <v>6</v>
      </c>
      <c r="F15" s="68">
        <v>8</v>
      </c>
      <c r="G15" s="26"/>
      <c r="H15" s="26"/>
      <c r="I15" s="26"/>
      <c r="J15" s="26"/>
      <c r="K15" s="26"/>
      <c r="L15" s="26"/>
      <c r="M15" s="26"/>
      <c r="N15" s="26"/>
      <c r="P15" s="44">
        <v>11</v>
      </c>
      <c r="Q15" s="39">
        <f t="shared" si="19"/>
        <v>7.7041602465331282E-4</v>
      </c>
      <c r="R15" s="39">
        <f t="shared" si="20"/>
        <v>3.0281341188129716E-4</v>
      </c>
      <c r="S15" s="39">
        <f t="shared" si="21"/>
        <v>5.0367082123954241E-3</v>
      </c>
      <c r="T15" s="39">
        <f t="shared" si="22"/>
        <v>1.2793176972281451E-3</v>
      </c>
      <c r="U15" s="39">
        <f t="shared" si="21"/>
        <v>4.4055289388182168E-4</v>
      </c>
      <c r="V15" s="39" t="e">
        <f t="shared" si="23"/>
        <v>#DIV/0!</v>
      </c>
      <c r="W15" s="39" t="e">
        <f t="shared" si="24"/>
        <v>#DIV/0!</v>
      </c>
      <c r="X15" s="39" t="e">
        <f t="shared" si="25"/>
        <v>#DIV/0!</v>
      </c>
      <c r="Y15" s="39" t="e">
        <f t="shared" si="26"/>
        <v>#DIV/0!</v>
      </c>
      <c r="Z15" s="39" t="e">
        <f t="shared" si="27"/>
        <v>#DIV/0!</v>
      </c>
      <c r="AA15" s="39" t="e">
        <f t="shared" si="28"/>
        <v>#DIV/0!</v>
      </c>
      <c r="AB15" s="39" t="e">
        <f t="shared" si="29"/>
        <v>#DIV/0!</v>
      </c>
      <c r="AC15" s="39" t="e">
        <f t="shared" si="30"/>
        <v>#DIV/0!</v>
      </c>
      <c r="AF15" s="20"/>
      <c r="AG15" s="20"/>
      <c r="AI15" s="20"/>
      <c r="AJ15" s="20"/>
      <c r="AK15" s="20"/>
      <c r="AL15" s="20"/>
      <c r="AM15" s="20"/>
      <c r="AN15" s="20"/>
      <c r="AO15" s="20"/>
      <c r="AP15" s="20"/>
      <c r="AQ15" s="20"/>
      <c r="AR15" s="20"/>
    </row>
    <row r="16" spans="1:44" ht="16" thickBot="1">
      <c r="A16" s="23">
        <v>12</v>
      </c>
      <c r="B16" s="68">
        <v>2</v>
      </c>
      <c r="C16" s="67">
        <v>6</v>
      </c>
      <c r="D16" s="209">
        <v>46</v>
      </c>
      <c r="E16" s="68">
        <v>6</v>
      </c>
      <c r="F16" s="68">
        <v>3</v>
      </c>
      <c r="G16" s="26"/>
      <c r="H16" s="26"/>
      <c r="I16" s="26"/>
      <c r="J16" s="26"/>
      <c r="K16" s="26"/>
      <c r="L16" s="26"/>
      <c r="M16" s="26"/>
      <c r="N16" s="26"/>
      <c r="P16" s="44">
        <v>12</v>
      </c>
      <c r="Q16" s="39">
        <f t="shared" si="19"/>
        <v>2.2011886418666079E-4</v>
      </c>
      <c r="R16" s="39">
        <f t="shared" si="20"/>
        <v>1.6517095193525297E-4</v>
      </c>
      <c r="S16" s="39">
        <f t="shared" si="21"/>
        <v>3.9269250469523651E-3</v>
      </c>
      <c r="T16" s="39">
        <f t="shared" si="22"/>
        <v>1.2793176972281451E-3</v>
      </c>
      <c r="U16" s="39">
        <f t="shared" si="21"/>
        <v>1.6520733520568312E-4</v>
      </c>
      <c r="V16" s="39" t="e">
        <f t="shared" si="23"/>
        <v>#DIV/0!</v>
      </c>
      <c r="W16" s="39" t="e">
        <f t="shared" si="24"/>
        <v>#DIV/0!</v>
      </c>
      <c r="X16" s="39" t="e">
        <f t="shared" si="25"/>
        <v>#DIV/0!</v>
      </c>
      <c r="Y16" s="39" t="e">
        <f t="shared" si="26"/>
        <v>#DIV/0!</v>
      </c>
      <c r="Z16" s="39" t="e">
        <f t="shared" si="27"/>
        <v>#DIV/0!</v>
      </c>
      <c r="AA16" s="39" t="e">
        <f t="shared" si="28"/>
        <v>#DIV/0!</v>
      </c>
      <c r="AB16" s="39" t="e">
        <f t="shared" si="29"/>
        <v>#DIV/0!</v>
      </c>
      <c r="AC16" s="39" t="e">
        <f t="shared" si="30"/>
        <v>#DIV/0!</v>
      </c>
      <c r="AF16" s="20"/>
      <c r="AG16" s="20"/>
      <c r="AI16" s="20"/>
      <c r="AJ16" s="20"/>
      <c r="AK16" s="20"/>
      <c r="AL16" s="20"/>
      <c r="AM16" s="20"/>
      <c r="AN16" s="20"/>
      <c r="AO16" s="20"/>
      <c r="AP16" s="20"/>
      <c r="AQ16" s="20"/>
      <c r="AR16" s="20"/>
    </row>
    <row r="17" spans="1:44" ht="16" thickBot="1">
      <c r="A17" s="23">
        <v>13</v>
      </c>
      <c r="B17" s="68">
        <v>4</v>
      </c>
      <c r="C17" s="67">
        <v>4</v>
      </c>
      <c r="D17" s="209">
        <v>47</v>
      </c>
      <c r="E17" s="68">
        <v>3</v>
      </c>
      <c r="F17" s="68">
        <v>4</v>
      </c>
      <c r="G17" s="26"/>
      <c r="H17" s="26"/>
      <c r="I17" s="26"/>
      <c r="J17" s="26"/>
      <c r="K17" s="26"/>
      <c r="L17" s="26"/>
      <c r="M17" s="26"/>
      <c r="N17" s="26"/>
      <c r="P17" s="44">
        <v>13</v>
      </c>
      <c r="Q17" s="39">
        <f t="shared" si="19"/>
        <v>4.4023772837332157E-4</v>
      </c>
      <c r="R17" s="39">
        <f t="shared" si="20"/>
        <v>1.1011396795683533E-4</v>
      </c>
      <c r="S17" s="39">
        <f t="shared" si="21"/>
        <v>4.012292982755677E-3</v>
      </c>
      <c r="T17" s="39">
        <f t="shared" si="22"/>
        <v>6.3965884861407255E-4</v>
      </c>
      <c r="U17" s="39">
        <f t="shared" si="21"/>
        <v>2.2027644694091084E-4</v>
      </c>
      <c r="V17" s="39" t="e">
        <f t="shared" si="23"/>
        <v>#DIV/0!</v>
      </c>
      <c r="W17" s="39" t="e">
        <f t="shared" si="24"/>
        <v>#DIV/0!</v>
      </c>
      <c r="X17" s="39" t="e">
        <f t="shared" si="25"/>
        <v>#DIV/0!</v>
      </c>
      <c r="Y17" s="39" t="e">
        <f t="shared" si="26"/>
        <v>#DIV/0!</v>
      </c>
      <c r="Z17" s="39" t="e">
        <f t="shared" si="27"/>
        <v>#DIV/0!</v>
      </c>
      <c r="AA17" s="39" t="e">
        <f t="shared" si="28"/>
        <v>#DIV/0!</v>
      </c>
      <c r="AB17" s="39" t="e">
        <f t="shared" si="29"/>
        <v>#DIV/0!</v>
      </c>
      <c r="AC17" s="39" t="e">
        <f t="shared" si="30"/>
        <v>#DIV/0!</v>
      </c>
      <c r="AF17" s="20"/>
      <c r="AG17" s="20"/>
      <c r="AI17" s="20"/>
      <c r="AJ17" s="20"/>
      <c r="AK17" s="20"/>
      <c r="AL17" s="20"/>
      <c r="AM17" s="20"/>
      <c r="AN17" s="20"/>
      <c r="AO17" s="20"/>
      <c r="AP17" s="20"/>
      <c r="AQ17" s="20"/>
      <c r="AR17" s="20"/>
    </row>
    <row r="18" spans="1:44" ht="16" thickBot="1">
      <c r="A18" s="23">
        <v>14</v>
      </c>
      <c r="B18" s="68">
        <v>3</v>
      </c>
      <c r="C18" s="67">
        <v>5</v>
      </c>
      <c r="D18" s="209">
        <v>30</v>
      </c>
      <c r="E18" s="68">
        <v>3</v>
      </c>
      <c r="F18" s="68">
        <v>3</v>
      </c>
      <c r="G18" s="26"/>
      <c r="H18" s="26"/>
      <c r="I18" s="26"/>
      <c r="J18" s="26"/>
      <c r="K18" s="26"/>
      <c r="L18" s="26"/>
      <c r="M18" s="26"/>
      <c r="N18" s="26"/>
      <c r="P18" s="44">
        <v>14</v>
      </c>
      <c r="Q18" s="39">
        <f t="shared" si="19"/>
        <v>3.3017829627999119E-4</v>
      </c>
      <c r="R18" s="39">
        <f t="shared" si="20"/>
        <v>1.3764245994604416E-4</v>
      </c>
      <c r="S18" s="39">
        <f t="shared" si="21"/>
        <v>2.5610380740993684E-3</v>
      </c>
      <c r="T18" s="39">
        <f t="shared" si="22"/>
        <v>6.3965884861407255E-4</v>
      </c>
      <c r="U18" s="39">
        <f t="shared" si="21"/>
        <v>1.6520733520568312E-4</v>
      </c>
      <c r="V18" s="39" t="e">
        <f t="shared" si="23"/>
        <v>#DIV/0!</v>
      </c>
      <c r="W18" s="39" t="e">
        <f t="shared" si="24"/>
        <v>#DIV/0!</v>
      </c>
      <c r="X18" s="39" t="e">
        <f t="shared" si="25"/>
        <v>#DIV/0!</v>
      </c>
      <c r="Y18" s="39" t="e">
        <f t="shared" si="26"/>
        <v>#DIV/0!</v>
      </c>
      <c r="Z18" s="39" t="e">
        <f t="shared" si="27"/>
        <v>#DIV/0!</v>
      </c>
      <c r="AA18" s="39" t="e">
        <f t="shared" si="28"/>
        <v>#DIV/0!</v>
      </c>
      <c r="AB18" s="39" t="e">
        <f t="shared" si="29"/>
        <v>#DIV/0!</v>
      </c>
      <c r="AC18" s="39" t="e">
        <f t="shared" si="30"/>
        <v>#DIV/0!</v>
      </c>
      <c r="AF18" s="20"/>
      <c r="AG18" s="20"/>
      <c r="AI18" s="20"/>
      <c r="AJ18" s="20"/>
      <c r="AK18" s="20"/>
      <c r="AL18" s="20"/>
      <c r="AM18" s="20"/>
      <c r="AN18" s="20"/>
      <c r="AO18" s="20"/>
      <c r="AP18" s="20"/>
      <c r="AQ18" s="20"/>
      <c r="AR18" s="20"/>
    </row>
    <row r="19" spans="1:44" ht="16" thickBot="1">
      <c r="A19" s="23">
        <v>15</v>
      </c>
      <c r="B19" s="68">
        <v>3</v>
      </c>
      <c r="C19" s="67">
        <v>5</v>
      </c>
      <c r="D19" s="209">
        <v>25</v>
      </c>
      <c r="E19" s="68">
        <v>6</v>
      </c>
      <c r="F19" s="68">
        <v>1</v>
      </c>
      <c r="G19" s="26"/>
      <c r="H19" s="26"/>
      <c r="I19" s="26"/>
      <c r="J19" s="26"/>
      <c r="K19" s="26"/>
      <c r="L19" s="26"/>
      <c r="M19" s="26"/>
      <c r="N19" s="26"/>
      <c r="P19" s="44">
        <v>15</v>
      </c>
      <c r="Q19" s="39">
        <f t="shared" si="19"/>
        <v>3.3017829627999119E-4</v>
      </c>
      <c r="R19" s="39">
        <f t="shared" si="20"/>
        <v>1.3764245994604416E-4</v>
      </c>
      <c r="S19" s="39">
        <f t="shared" si="21"/>
        <v>2.1341983950828071E-3</v>
      </c>
      <c r="T19" s="39">
        <f t="shared" si="22"/>
        <v>1.2793176972281451E-3</v>
      </c>
      <c r="U19" s="39">
        <f t="shared" si="21"/>
        <v>5.506911173522771E-5</v>
      </c>
      <c r="V19" s="39" t="e">
        <f t="shared" si="23"/>
        <v>#DIV/0!</v>
      </c>
      <c r="W19" s="39" t="e">
        <f t="shared" si="24"/>
        <v>#DIV/0!</v>
      </c>
      <c r="X19" s="39" t="e">
        <f t="shared" si="25"/>
        <v>#DIV/0!</v>
      </c>
      <c r="Y19" s="39" t="e">
        <f t="shared" si="26"/>
        <v>#DIV/0!</v>
      </c>
      <c r="Z19" s="39" t="e">
        <f t="shared" si="27"/>
        <v>#DIV/0!</v>
      </c>
      <c r="AA19" s="39" t="e">
        <f t="shared" si="28"/>
        <v>#DIV/0!</v>
      </c>
      <c r="AB19" s="39" t="e">
        <f t="shared" si="29"/>
        <v>#DIV/0!</v>
      </c>
      <c r="AC19" s="39" t="e">
        <f t="shared" si="30"/>
        <v>#DIV/0!</v>
      </c>
      <c r="AF19" s="20"/>
      <c r="AG19" s="20"/>
      <c r="AI19" s="20"/>
      <c r="AJ19" s="20"/>
      <c r="AK19" s="20"/>
      <c r="AL19" s="20"/>
      <c r="AM19" s="20"/>
      <c r="AN19" s="20"/>
      <c r="AO19" s="20"/>
      <c r="AP19" s="20"/>
      <c r="AQ19" s="20"/>
      <c r="AR19" s="20"/>
    </row>
    <row r="20" spans="1:44" ht="16" thickBot="1">
      <c r="A20" s="23">
        <v>16</v>
      </c>
      <c r="B20" s="68">
        <v>1</v>
      </c>
      <c r="C20" s="67">
        <v>1</v>
      </c>
      <c r="D20" s="209">
        <v>22</v>
      </c>
      <c r="E20" s="68">
        <v>3</v>
      </c>
      <c r="F20" s="26"/>
      <c r="G20" s="26"/>
      <c r="H20" s="26"/>
      <c r="I20" s="26"/>
      <c r="J20" s="26"/>
      <c r="K20" s="26"/>
      <c r="L20" s="26"/>
      <c r="M20" s="26"/>
      <c r="N20" s="26"/>
      <c r="P20" s="44">
        <v>16</v>
      </c>
      <c r="Q20" s="39">
        <f t="shared" si="19"/>
        <v>1.1005943209333039E-4</v>
      </c>
      <c r="R20" s="39">
        <f t="shared" si="20"/>
        <v>2.7528491989208831E-5</v>
      </c>
      <c r="S20" s="39">
        <f t="shared" si="21"/>
        <v>1.8780945876728701E-3</v>
      </c>
      <c r="T20" s="39">
        <f t="shared" si="22"/>
        <v>6.3965884861407255E-4</v>
      </c>
      <c r="U20" s="39">
        <f t="shared" si="21"/>
        <v>0</v>
      </c>
      <c r="V20" s="39" t="e">
        <f t="shared" si="23"/>
        <v>#DIV/0!</v>
      </c>
      <c r="W20" s="39" t="e">
        <f t="shared" si="24"/>
        <v>#DIV/0!</v>
      </c>
      <c r="X20" s="39" t="e">
        <f t="shared" si="25"/>
        <v>#DIV/0!</v>
      </c>
      <c r="Y20" s="39" t="e">
        <f t="shared" si="26"/>
        <v>#DIV/0!</v>
      </c>
      <c r="Z20" s="39" t="e">
        <f t="shared" si="27"/>
        <v>#DIV/0!</v>
      </c>
      <c r="AA20" s="39" t="e">
        <f t="shared" si="28"/>
        <v>#DIV/0!</v>
      </c>
      <c r="AB20" s="39" t="e">
        <f t="shared" si="29"/>
        <v>#DIV/0!</v>
      </c>
      <c r="AC20" s="39" t="e">
        <f t="shared" si="30"/>
        <v>#DIV/0!</v>
      </c>
      <c r="AF20" s="20"/>
      <c r="AG20" s="20"/>
      <c r="AI20" s="20"/>
      <c r="AJ20" s="20"/>
      <c r="AK20" s="20"/>
      <c r="AL20" s="20"/>
      <c r="AM20" s="20"/>
      <c r="AN20" s="20"/>
      <c r="AO20" s="20"/>
      <c r="AP20" s="20"/>
      <c r="AQ20" s="20"/>
      <c r="AR20" s="20"/>
    </row>
    <row r="21" spans="1:44" ht="16" thickBot="1">
      <c r="A21" s="23">
        <v>17</v>
      </c>
      <c r="B21" s="68">
        <v>1</v>
      </c>
      <c r="C21" s="67">
        <v>2</v>
      </c>
      <c r="D21" s="209">
        <v>17</v>
      </c>
      <c r="E21" s="68">
        <v>2</v>
      </c>
      <c r="F21" s="26"/>
      <c r="G21" s="26"/>
      <c r="H21" s="26"/>
      <c r="I21" s="26"/>
      <c r="J21" s="26"/>
      <c r="K21" s="26"/>
      <c r="L21" s="26"/>
      <c r="M21" s="26"/>
      <c r="N21" s="26"/>
      <c r="P21" s="44">
        <v>17</v>
      </c>
      <c r="Q21" s="39">
        <f t="shared" si="19"/>
        <v>1.1005943209333039E-4</v>
      </c>
      <c r="R21" s="39">
        <f t="shared" si="20"/>
        <v>5.5056983978417663E-5</v>
      </c>
      <c r="S21" s="39">
        <f t="shared" si="21"/>
        <v>1.4512549086563087E-3</v>
      </c>
      <c r="T21" s="39">
        <f t="shared" si="22"/>
        <v>4.2643923240938164E-4</v>
      </c>
      <c r="U21" s="39">
        <f t="shared" si="21"/>
        <v>0</v>
      </c>
      <c r="V21" s="39" t="e">
        <f t="shared" si="23"/>
        <v>#DIV/0!</v>
      </c>
      <c r="W21" s="39" t="e">
        <f t="shared" si="24"/>
        <v>#DIV/0!</v>
      </c>
      <c r="X21" s="39" t="e">
        <f t="shared" si="25"/>
        <v>#DIV/0!</v>
      </c>
      <c r="Y21" s="39" t="e">
        <f t="shared" si="26"/>
        <v>#DIV/0!</v>
      </c>
      <c r="Z21" s="39" t="e">
        <f t="shared" si="27"/>
        <v>#DIV/0!</v>
      </c>
      <c r="AA21" s="39" t="e">
        <f t="shared" si="28"/>
        <v>#DIV/0!</v>
      </c>
      <c r="AB21" s="39" t="e">
        <f t="shared" si="29"/>
        <v>#DIV/0!</v>
      </c>
      <c r="AC21" s="39" t="e">
        <f t="shared" si="30"/>
        <v>#DIV/0!</v>
      </c>
      <c r="AF21" s="20"/>
      <c r="AG21" s="20"/>
      <c r="AI21" s="20"/>
      <c r="AJ21" s="20"/>
      <c r="AK21" s="20"/>
      <c r="AL21" s="20"/>
      <c r="AM21" s="20"/>
      <c r="AN21" s="20"/>
      <c r="AO21" s="20"/>
      <c r="AP21" s="20"/>
      <c r="AQ21" s="20"/>
      <c r="AR21" s="20"/>
    </row>
    <row r="22" spans="1:44" ht="16" thickBot="1">
      <c r="A22" s="23">
        <v>18</v>
      </c>
      <c r="B22" s="68">
        <v>2</v>
      </c>
      <c r="C22" s="67">
        <v>3</v>
      </c>
      <c r="D22" s="209">
        <v>13</v>
      </c>
      <c r="E22" s="68">
        <v>1</v>
      </c>
      <c r="F22" s="26"/>
      <c r="G22" s="26"/>
      <c r="H22" s="26"/>
      <c r="I22" s="26"/>
      <c r="J22" s="26"/>
      <c r="K22" s="26"/>
      <c r="L22" s="26"/>
      <c r="M22" s="26"/>
      <c r="N22" s="26"/>
      <c r="P22" s="44">
        <v>18</v>
      </c>
      <c r="Q22" s="39">
        <f t="shared" si="19"/>
        <v>2.2011886418666079E-4</v>
      </c>
      <c r="R22" s="39">
        <f t="shared" si="20"/>
        <v>8.2585475967626487E-5</v>
      </c>
      <c r="S22" s="39">
        <f t="shared" si="21"/>
        <v>1.1097831654430597E-3</v>
      </c>
      <c r="T22" s="39">
        <f t="shared" si="22"/>
        <v>2.1321961620469082E-4</v>
      </c>
      <c r="U22" s="39">
        <f t="shared" si="21"/>
        <v>0</v>
      </c>
      <c r="V22" s="39" t="e">
        <f t="shared" si="23"/>
        <v>#DIV/0!</v>
      </c>
      <c r="W22" s="39" t="e">
        <f t="shared" si="24"/>
        <v>#DIV/0!</v>
      </c>
      <c r="X22" s="39" t="e">
        <f t="shared" si="25"/>
        <v>#DIV/0!</v>
      </c>
      <c r="Y22" s="39" t="e">
        <f t="shared" si="26"/>
        <v>#DIV/0!</v>
      </c>
      <c r="Z22" s="39" t="e">
        <f t="shared" si="27"/>
        <v>#DIV/0!</v>
      </c>
      <c r="AA22" s="39" t="e">
        <f t="shared" si="28"/>
        <v>#DIV/0!</v>
      </c>
      <c r="AB22" s="39" t="e">
        <f t="shared" si="29"/>
        <v>#DIV/0!</v>
      </c>
      <c r="AC22" s="39" t="e">
        <f t="shared" si="30"/>
        <v>#DIV/0!</v>
      </c>
      <c r="AF22" s="20"/>
      <c r="AG22" s="20"/>
      <c r="AI22" s="20"/>
      <c r="AJ22" s="20"/>
      <c r="AK22" s="20"/>
      <c r="AL22" s="20"/>
      <c r="AM22" s="20"/>
      <c r="AN22" s="20"/>
      <c r="AO22" s="20"/>
      <c r="AP22" s="20"/>
      <c r="AQ22" s="20"/>
      <c r="AR22" s="20"/>
    </row>
    <row r="23" spans="1:44" ht="16" thickBot="1">
      <c r="A23" s="23">
        <v>19</v>
      </c>
      <c r="B23" s="68">
        <v>1</v>
      </c>
      <c r="C23" s="67">
        <v>2</v>
      </c>
      <c r="D23" s="209">
        <v>14</v>
      </c>
      <c r="E23" s="68">
        <v>1</v>
      </c>
      <c r="F23" s="26"/>
      <c r="G23" s="26"/>
      <c r="H23" s="26"/>
      <c r="I23" s="26"/>
      <c r="J23" s="26"/>
      <c r="K23" s="26"/>
      <c r="L23" s="26"/>
      <c r="M23" s="26"/>
      <c r="N23" s="26"/>
      <c r="P23" s="44">
        <v>19</v>
      </c>
      <c r="Q23" s="39">
        <f t="shared" si="19"/>
        <v>1.1005943209333039E-4</v>
      </c>
      <c r="R23" s="39">
        <f t="shared" si="20"/>
        <v>5.5056983978417663E-5</v>
      </c>
      <c r="S23" s="39">
        <f t="shared" si="21"/>
        <v>1.1951511012463719E-3</v>
      </c>
      <c r="T23" s="39">
        <f t="shared" si="22"/>
        <v>2.1321961620469082E-4</v>
      </c>
      <c r="U23" s="39">
        <f t="shared" si="21"/>
        <v>0</v>
      </c>
      <c r="V23" s="39" t="e">
        <f t="shared" si="23"/>
        <v>#DIV/0!</v>
      </c>
      <c r="W23" s="39" t="e">
        <f t="shared" si="24"/>
        <v>#DIV/0!</v>
      </c>
      <c r="X23" s="39" t="e">
        <f t="shared" si="25"/>
        <v>#DIV/0!</v>
      </c>
      <c r="Y23" s="39" t="e">
        <f t="shared" si="26"/>
        <v>#DIV/0!</v>
      </c>
      <c r="Z23" s="39" t="e">
        <f t="shared" si="27"/>
        <v>#DIV/0!</v>
      </c>
      <c r="AA23" s="39" t="e">
        <f t="shared" si="28"/>
        <v>#DIV/0!</v>
      </c>
      <c r="AB23" s="39" t="e">
        <f t="shared" si="29"/>
        <v>#DIV/0!</v>
      </c>
      <c r="AC23" s="39" t="e">
        <f t="shared" si="30"/>
        <v>#DIV/0!</v>
      </c>
      <c r="AF23" s="20"/>
      <c r="AG23" s="20"/>
      <c r="AI23" s="20"/>
      <c r="AJ23" s="20"/>
      <c r="AK23" s="20"/>
      <c r="AL23" s="20"/>
      <c r="AM23" s="20"/>
      <c r="AN23" s="20"/>
      <c r="AO23" s="20"/>
      <c r="AP23" s="20"/>
      <c r="AQ23" s="20"/>
      <c r="AR23" s="20"/>
    </row>
    <row r="24" spans="1:44" ht="16" thickBot="1">
      <c r="A24" s="23">
        <v>20</v>
      </c>
      <c r="B24" s="26"/>
      <c r="C24" s="67">
        <v>1</v>
      </c>
      <c r="D24" s="209">
        <v>20</v>
      </c>
      <c r="E24" s="68">
        <v>1</v>
      </c>
      <c r="F24" s="26"/>
      <c r="G24" s="26"/>
      <c r="H24" s="26"/>
      <c r="I24" s="26"/>
      <c r="J24" s="26"/>
      <c r="K24" s="26"/>
      <c r="L24" s="26"/>
      <c r="M24" s="26"/>
      <c r="N24" s="26"/>
      <c r="P24" s="44">
        <v>20</v>
      </c>
      <c r="Q24" s="39">
        <f t="shared" si="19"/>
        <v>0</v>
      </c>
      <c r="R24" s="39">
        <f t="shared" si="20"/>
        <v>2.7528491989208831E-5</v>
      </c>
      <c r="S24" s="39">
        <f t="shared" si="21"/>
        <v>1.7073587160662455E-3</v>
      </c>
      <c r="T24" s="39">
        <f t="shared" si="22"/>
        <v>2.1321961620469082E-4</v>
      </c>
      <c r="U24" s="39">
        <f t="shared" si="21"/>
        <v>0</v>
      </c>
      <c r="V24" s="39" t="e">
        <f t="shared" si="23"/>
        <v>#DIV/0!</v>
      </c>
      <c r="W24" s="39" t="e">
        <f t="shared" si="24"/>
        <v>#DIV/0!</v>
      </c>
      <c r="X24" s="39" t="e">
        <f t="shared" si="25"/>
        <v>#DIV/0!</v>
      </c>
      <c r="Y24" s="39" t="e">
        <f t="shared" si="26"/>
        <v>#DIV/0!</v>
      </c>
      <c r="Z24" s="39" t="e">
        <f t="shared" si="27"/>
        <v>#DIV/0!</v>
      </c>
      <c r="AA24" s="39" t="e">
        <f t="shared" si="28"/>
        <v>#DIV/0!</v>
      </c>
      <c r="AB24" s="39" t="e">
        <f t="shared" si="29"/>
        <v>#DIV/0!</v>
      </c>
      <c r="AC24" s="39" t="e">
        <f t="shared" si="30"/>
        <v>#DIV/0!</v>
      </c>
      <c r="AF24" s="20"/>
      <c r="AG24" s="20"/>
      <c r="AI24" s="20"/>
      <c r="AJ24" s="20"/>
      <c r="AK24" s="20"/>
      <c r="AL24" s="20"/>
      <c r="AM24" s="20"/>
      <c r="AN24" s="20"/>
      <c r="AO24" s="20"/>
      <c r="AP24" s="20"/>
      <c r="AQ24" s="20"/>
      <c r="AR24" s="20"/>
    </row>
    <row r="25" spans="1:44" ht="16" thickBot="1">
      <c r="A25" s="23">
        <v>21</v>
      </c>
      <c r="B25" s="26"/>
      <c r="C25" s="24"/>
      <c r="D25" s="209">
        <v>17</v>
      </c>
      <c r="E25" s="68">
        <v>1</v>
      </c>
      <c r="F25" s="26"/>
      <c r="G25" s="26"/>
      <c r="H25" s="26"/>
      <c r="I25" s="26"/>
      <c r="J25" s="26"/>
      <c r="K25" s="26"/>
      <c r="L25" s="26"/>
      <c r="M25" s="26"/>
      <c r="N25" s="26"/>
      <c r="P25" s="44">
        <v>21</v>
      </c>
      <c r="Q25" s="39">
        <f t="shared" si="19"/>
        <v>0</v>
      </c>
      <c r="R25" s="39">
        <f t="shared" si="20"/>
        <v>0</v>
      </c>
      <c r="S25" s="39">
        <f t="shared" si="21"/>
        <v>1.4512549086563087E-3</v>
      </c>
      <c r="T25" s="39">
        <f t="shared" si="22"/>
        <v>2.1321961620469082E-4</v>
      </c>
      <c r="U25" s="39">
        <f t="shared" si="21"/>
        <v>0</v>
      </c>
      <c r="V25" s="39" t="e">
        <f t="shared" si="23"/>
        <v>#DIV/0!</v>
      </c>
      <c r="W25" s="39" t="e">
        <f t="shared" si="24"/>
        <v>#DIV/0!</v>
      </c>
      <c r="X25" s="39" t="e">
        <f t="shared" si="25"/>
        <v>#DIV/0!</v>
      </c>
      <c r="Y25" s="39" t="e">
        <f t="shared" si="26"/>
        <v>#DIV/0!</v>
      </c>
      <c r="Z25" s="39" t="e">
        <f t="shared" si="27"/>
        <v>#DIV/0!</v>
      </c>
      <c r="AA25" s="39" t="e">
        <f t="shared" si="28"/>
        <v>#DIV/0!</v>
      </c>
      <c r="AB25" s="39" t="e">
        <f t="shared" si="29"/>
        <v>#DIV/0!</v>
      </c>
      <c r="AC25" s="39" t="e">
        <f t="shared" si="30"/>
        <v>#DIV/0!</v>
      </c>
      <c r="AF25" s="20"/>
      <c r="AG25" s="20"/>
      <c r="AI25" s="20"/>
      <c r="AJ25" s="20"/>
      <c r="AK25" s="20"/>
      <c r="AL25" s="20"/>
      <c r="AM25" s="20"/>
      <c r="AN25" s="20"/>
      <c r="AO25" s="20"/>
      <c r="AP25" s="20"/>
      <c r="AQ25" s="20"/>
      <c r="AR25" s="20"/>
    </row>
    <row r="26" spans="1:44" ht="16" thickBot="1">
      <c r="A26" s="23">
        <v>22</v>
      </c>
      <c r="B26" s="26"/>
      <c r="C26" s="24"/>
      <c r="D26" s="209">
        <v>5</v>
      </c>
      <c r="E26" s="26"/>
      <c r="F26" s="26"/>
      <c r="G26" s="26"/>
      <c r="H26" s="26"/>
      <c r="I26" s="26"/>
      <c r="J26" s="26"/>
      <c r="K26" s="26"/>
      <c r="L26" s="26"/>
      <c r="M26" s="26"/>
      <c r="N26" s="26"/>
      <c r="P26" s="44">
        <v>22</v>
      </c>
      <c r="Q26" s="39">
        <f t="shared" si="19"/>
        <v>0</v>
      </c>
      <c r="R26" s="39">
        <f t="shared" si="20"/>
        <v>0</v>
      </c>
      <c r="S26" s="39">
        <f t="shared" si="21"/>
        <v>4.2683967901656139E-4</v>
      </c>
      <c r="T26" s="39">
        <f t="shared" si="22"/>
        <v>0</v>
      </c>
      <c r="U26" s="39">
        <f t="shared" si="21"/>
        <v>0</v>
      </c>
      <c r="V26" s="39" t="e">
        <f t="shared" si="23"/>
        <v>#DIV/0!</v>
      </c>
      <c r="W26" s="39" t="e">
        <f t="shared" si="24"/>
        <v>#DIV/0!</v>
      </c>
      <c r="X26" s="39" t="e">
        <f t="shared" si="25"/>
        <v>#DIV/0!</v>
      </c>
      <c r="Y26" s="39" t="e">
        <f t="shared" si="26"/>
        <v>#DIV/0!</v>
      </c>
      <c r="Z26" s="39" t="e">
        <f t="shared" si="27"/>
        <v>#DIV/0!</v>
      </c>
      <c r="AA26" s="39" t="e">
        <f t="shared" si="28"/>
        <v>#DIV/0!</v>
      </c>
      <c r="AB26" s="39" t="e">
        <f t="shared" si="29"/>
        <v>#DIV/0!</v>
      </c>
      <c r="AC26" s="39" t="e">
        <f t="shared" si="30"/>
        <v>#DIV/0!</v>
      </c>
      <c r="AF26" s="20"/>
      <c r="AG26" s="20"/>
      <c r="AI26" s="20"/>
      <c r="AJ26" s="20"/>
      <c r="AK26" s="20"/>
      <c r="AL26" s="20"/>
      <c r="AM26" s="20"/>
      <c r="AN26" s="20"/>
      <c r="AO26" s="20"/>
      <c r="AP26" s="20"/>
      <c r="AQ26" s="20"/>
      <c r="AR26" s="20"/>
    </row>
    <row r="27" spans="1:44" ht="16" thickBot="1">
      <c r="A27" s="23">
        <v>23</v>
      </c>
      <c r="B27" s="26"/>
      <c r="C27" s="24"/>
      <c r="D27" s="209">
        <v>5</v>
      </c>
      <c r="E27" s="26"/>
      <c r="F27" s="26"/>
      <c r="G27" s="24"/>
      <c r="H27" s="24"/>
      <c r="I27" s="24"/>
      <c r="J27" s="24"/>
      <c r="K27" s="24"/>
      <c r="L27" s="24"/>
      <c r="M27" s="24"/>
      <c r="N27" s="24"/>
      <c r="P27" s="44">
        <v>23</v>
      </c>
      <c r="Q27" s="39">
        <f t="shared" si="19"/>
        <v>0</v>
      </c>
      <c r="R27" s="39">
        <f t="shared" si="20"/>
        <v>0</v>
      </c>
      <c r="S27" s="39">
        <f t="shared" si="21"/>
        <v>4.2683967901656139E-4</v>
      </c>
      <c r="T27" s="39">
        <f t="shared" si="22"/>
        <v>0</v>
      </c>
      <c r="U27" s="39">
        <f t="shared" si="21"/>
        <v>0</v>
      </c>
      <c r="V27" s="39" t="e">
        <f t="shared" si="23"/>
        <v>#DIV/0!</v>
      </c>
      <c r="W27" s="39" t="e">
        <f t="shared" si="24"/>
        <v>#DIV/0!</v>
      </c>
      <c r="X27" s="39" t="e">
        <f t="shared" si="25"/>
        <v>#DIV/0!</v>
      </c>
      <c r="Y27" s="39" t="e">
        <f t="shared" si="26"/>
        <v>#DIV/0!</v>
      </c>
      <c r="Z27" s="39" t="e">
        <f t="shared" si="27"/>
        <v>#DIV/0!</v>
      </c>
      <c r="AA27" s="39" t="e">
        <f t="shared" si="28"/>
        <v>#DIV/0!</v>
      </c>
      <c r="AB27" s="39" t="e">
        <f t="shared" si="29"/>
        <v>#DIV/0!</v>
      </c>
      <c r="AC27" s="39" t="e">
        <f t="shared" si="30"/>
        <v>#DIV/0!</v>
      </c>
      <c r="AF27" s="20"/>
      <c r="AG27" s="20"/>
      <c r="AI27" s="20"/>
      <c r="AJ27" s="20"/>
      <c r="AK27" s="20"/>
      <c r="AL27" s="20"/>
      <c r="AM27" s="20"/>
      <c r="AN27" s="20"/>
      <c r="AO27" s="20"/>
      <c r="AP27" s="20"/>
      <c r="AQ27" s="20"/>
      <c r="AR27" s="20"/>
    </row>
    <row r="28" spans="1:44">
      <c r="A28" s="23">
        <v>24</v>
      </c>
      <c r="B28" s="26"/>
      <c r="C28" s="24"/>
      <c r="D28" s="210">
        <v>7</v>
      </c>
      <c r="E28" s="25"/>
      <c r="F28" s="26"/>
      <c r="G28" s="26"/>
      <c r="H28" s="26"/>
      <c r="I28" s="26"/>
      <c r="J28" s="26"/>
      <c r="K28" s="26"/>
      <c r="L28" s="26"/>
      <c r="M28" s="26"/>
      <c r="N28" s="26"/>
      <c r="P28" s="44">
        <v>24</v>
      </c>
      <c r="Q28" s="39">
        <f t="shared" si="19"/>
        <v>0</v>
      </c>
      <c r="R28" s="39">
        <f t="shared" si="20"/>
        <v>0</v>
      </c>
      <c r="S28" s="39">
        <f t="shared" si="21"/>
        <v>5.9757555062318597E-4</v>
      </c>
      <c r="T28" s="39">
        <f t="shared" si="22"/>
        <v>0</v>
      </c>
      <c r="U28" s="39">
        <f t="shared" si="21"/>
        <v>0</v>
      </c>
      <c r="V28" s="39" t="e">
        <f t="shared" si="23"/>
        <v>#DIV/0!</v>
      </c>
      <c r="W28" s="39" t="e">
        <f t="shared" si="24"/>
        <v>#DIV/0!</v>
      </c>
      <c r="X28" s="39" t="e">
        <f t="shared" si="25"/>
        <v>#DIV/0!</v>
      </c>
      <c r="Y28" s="39" t="e">
        <f t="shared" si="26"/>
        <v>#DIV/0!</v>
      </c>
      <c r="Z28" s="39" t="e">
        <f t="shared" si="27"/>
        <v>#DIV/0!</v>
      </c>
      <c r="AA28" s="39" t="e">
        <f t="shared" si="28"/>
        <v>#DIV/0!</v>
      </c>
      <c r="AB28" s="39" t="e">
        <f t="shared" si="29"/>
        <v>#DIV/0!</v>
      </c>
      <c r="AC28" s="39" t="e">
        <f t="shared" si="30"/>
        <v>#DIV/0!</v>
      </c>
      <c r="AF28" s="20"/>
      <c r="AG28" s="20"/>
      <c r="AI28" s="20"/>
      <c r="AJ28" s="20"/>
      <c r="AK28" s="20"/>
      <c r="AL28" s="20"/>
      <c r="AM28" s="20"/>
      <c r="AN28" s="20"/>
      <c r="AO28" s="20"/>
      <c r="AP28" s="20"/>
      <c r="AQ28" s="20"/>
      <c r="AR28" s="20"/>
    </row>
    <row r="29" spans="1:44">
      <c r="A29" s="23">
        <v>25</v>
      </c>
      <c r="B29" s="26"/>
      <c r="C29" s="24"/>
      <c r="D29" s="24"/>
      <c r="E29" s="25"/>
      <c r="F29" s="26"/>
      <c r="G29" s="26"/>
      <c r="H29" s="26"/>
      <c r="I29" s="26"/>
      <c r="J29" s="26"/>
      <c r="K29" s="26"/>
      <c r="L29" s="26"/>
      <c r="M29" s="26"/>
      <c r="N29" s="26"/>
      <c r="P29" s="44">
        <v>25</v>
      </c>
      <c r="Q29" s="39">
        <f t="shared" si="19"/>
        <v>0</v>
      </c>
      <c r="R29" s="39">
        <f t="shared" si="20"/>
        <v>0</v>
      </c>
      <c r="S29" s="39">
        <f t="shared" si="21"/>
        <v>0</v>
      </c>
      <c r="T29" s="39">
        <f t="shared" si="22"/>
        <v>0</v>
      </c>
      <c r="U29" s="39">
        <f t="shared" si="21"/>
        <v>0</v>
      </c>
      <c r="V29" s="39" t="e">
        <f t="shared" si="23"/>
        <v>#DIV/0!</v>
      </c>
      <c r="W29" s="39" t="e">
        <f t="shared" si="24"/>
        <v>#DIV/0!</v>
      </c>
      <c r="X29" s="39" t="e">
        <f t="shared" si="25"/>
        <v>#DIV/0!</v>
      </c>
      <c r="Y29" s="39" t="e">
        <f t="shared" si="26"/>
        <v>#DIV/0!</v>
      </c>
      <c r="Z29" s="39" t="e">
        <f t="shared" si="27"/>
        <v>#DIV/0!</v>
      </c>
      <c r="AA29" s="39" t="e">
        <f t="shared" si="28"/>
        <v>#DIV/0!</v>
      </c>
      <c r="AB29" s="39" t="e">
        <f t="shared" si="29"/>
        <v>#DIV/0!</v>
      </c>
      <c r="AC29" s="39" t="e">
        <f t="shared" si="30"/>
        <v>#DIV/0!</v>
      </c>
      <c r="AF29" s="20"/>
      <c r="AG29" s="20"/>
      <c r="AI29" s="20"/>
      <c r="AJ29" s="20"/>
      <c r="AK29" s="20"/>
      <c r="AL29" s="20"/>
      <c r="AM29" s="20"/>
      <c r="AN29" s="20"/>
      <c r="AO29" s="20"/>
      <c r="AP29" s="20"/>
      <c r="AQ29" s="20"/>
      <c r="AR29" s="20"/>
    </row>
    <row r="30" spans="1:44">
      <c r="A30" s="23">
        <v>26</v>
      </c>
      <c r="B30" s="26"/>
      <c r="C30" s="24"/>
      <c r="D30" s="24"/>
      <c r="E30" s="25"/>
      <c r="F30" s="26"/>
      <c r="G30" s="26"/>
      <c r="H30" s="26"/>
      <c r="I30" s="26"/>
      <c r="J30" s="26"/>
      <c r="K30" s="26"/>
      <c r="L30" s="26"/>
      <c r="M30" s="26"/>
      <c r="N30" s="26"/>
      <c r="P30" s="44">
        <v>26</v>
      </c>
      <c r="Q30" s="39">
        <f t="shared" si="19"/>
        <v>0</v>
      </c>
      <c r="R30" s="39">
        <f t="shared" si="20"/>
        <v>0</v>
      </c>
      <c r="S30" s="39">
        <f t="shared" si="21"/>
        <v>0</v>
      </c>
      <c r="T30" s="39">
        <f t="shared" si="22"/>
        <v>0</v>
      </c>
      <c r="U30" s="39">
        <f t="shared" si="21"/>
        <v>0</v>
      </c>
      <c r="V30" s="39" t="e">
        <f t="shared" si="23"/>
        <v>#DIV/0!</v>
      </c>
      <c r="W30" s="39" t="e">
        <f t="shared" si="24"/>
        <v>#DIV/0!</v>
      </c>
      <c r="X30" s="39" t="e">
        <f t="shared" si="25"/>
        <v>#DIV/0!</v>
      </c>
      <c r="Y30" s="39" t="e">
        <f t="shared" si="26"/>
        <v>#DIV/0!</v>
      </c>
      <c r="Z30" s="39" t="e">
        <f t="shared" si="27"/>
        <v>#DIV/0!</v>
      </c>
      <c r="AA30" s="39" t="e">
        <f t="shared" si="28"/>
        <v>#DIV/0!</v>
      </c>
      <c r="AB30" s="39" t="e">
        <f t="shared" si="29"/>
        <v>#DIV/0!</v>
      </c>
      <c r="AC30" s="39" t="e">
        <f t="shared" si="30"/>
        <v>#DIV/0!</v>
      </c>
      <c r="AF30" s="20"/>
      <c r="AG30" s="20"/>
      <c r="AI30" s="20"/>
      <c r="AJ30" s="20"/>
      <c r="AK30" s="20"/>
      <c r="AL30" s="20"/>
      <c r="AM30" s="20"/>
      <c r="AN30" s="20"/>
      <c r="AO30" s="20"/>
      <c r="AP30" s="20"/>
      <c r="AQ30" s="20"/>
      <c r="AR30" s="20"/>
    </row>
    <row r="31" spans="1:44">
      <c r="A31" s="23">
        <v>27</v>
      </c>
      <c r="B31" s="26"/>
      <c r="C31" s="24"/>
      <c r="D31" s="24"/>
      <c r="E31" s="25"/>
      <c r="F31" s="26"/>
      <c r="G31" s="26"/>
      <c r="H31" s="26"/>
      <c r="I31" s="26"/>
      <c r="J31" s="26"/>
      <c r="K31" s="26"/>
      <c r="L31" s="26"/>
      <c r="M31" s="26"/>
      <c r="N31" s="26"/>
      <c r="P31" s="44">
        <v>27</v>
      </c>
      <c r="Q31" s="39">
        <f t="shared" si="19"/>
        <v>0</v>
      </c>
      <c r="R31" s="39">
        <f t="shared" si="20"/>
        <v>0</v>
      </c>
      <c r="S31" s="39">
        <f t="shared" si="21"/>
        <v>0</v>
      </c>
      <c r="T31" s="39">
        <f t="shared" si="22"/>
        <v>0</v>
      </c>
      <c r="U31" s="39">
        <f t="shared" si="21"/>
        <v>0</v>
      </c>
      <c r="V31" s="39" t="e">
        <f t="shared" si="23"/>
        <v>#DIV/0!</v>
      </c>
      <c r="W31" s="39" t="e">
        <f t="shared" si="24"/>
        <v>#DIV/0!</v>
      </c>
      <c r="X31" s="39" t="e">
        <f t="shared" si="25"/>
        <v>#DIV/0!</v>
      </c>
      <c r="Y31" s="39" t="e">
        <f t="shared" si="26"/>
        <v>#DIV/0!</v>
      </c>
      <c r="Z31" s="39" t="e">
        <f t="shared" si="27"/>
        <v>#DIV/0!</v>
      </c>
      <c r="AA31" s="39" t="e">
        <f t="shared" si="28"/>
        <v>#DIV/0!</v>
      </c>
      <c r="AB31" s="39" t="e">
        <f t="shared" si="29"/>
        <v>#DIV/0!</v>
      </c>
      <c r="AC31" s="39" t="e">
        <f t="shared" si="30"/>
        <v>#DIV/0!</v>
      </c>
      <c r="AF31" s="20"/>
      <c r="AG31" s="20"/>
      <c r="AI31" s="20"/>
      <c r="AJ31" s="20"/>
      <c r="AK31" s="20"/>
      <c r="AL31" s="20"/>
      <c r="AM31" s="20"/>
      <c r="AN31" s="20"/>
      <c r="AO31" s="20"/>
      <c r="AP31" s="20"/>
      <c r="AQ31" s="20"/>
      <c r="AR31" s="20"/>
    </row>
    <row r="32" spans="1:44">
      <c r="A32" s="23">
        <v>28</v>
      </c>
      <c r="B32" s="26"/>
      <c r="C32" s="24"/>
      <c r="D32" s="24"/>
      <c r="E32" s="25"/>
      <c r="F32" s="26"/>
      <c r="G32" s="26"/>
      <c r="H32" s="26"/>
      <c r="I32" s="26"/>
      <c r="J32" s="26"/>
      <c r="K32" s="26"/>
      <c r="L32" s="26"/>
      <c r="M32" s="26"/>
      <c r="N32" s="26"/>
      <c r="P32" s="44">
        <v>28</v>
      </c>
      <c r="Q32" s="39">
        <f t="shared" si="19"/>
        <v>0</v>
      </c>
      <c r="R32" s="39">
        <f t="shared" si="20"/>
        <v>0</v>
      </c>
      <c r="S32" s="39">
        <f t="shared" si="21"/>
        <v>0</v>
      </c>
      <c r="T32" s="39">
        <f t="shared" si="22"/>
        <v>0</v>
      </c>
      <c r="U32" s="39">
        <f t="shared" si="21"/>
        <v>0</v>
      </c>
      <c r="V32" s="39" t="e">
        <f t="shared" si="23"/>
        <v>#DIV/0!</v>
      </c>
      <c r="W32" s="39" t="e">
        <f t="shared" si="24"/>
        <v>#DIV/0!</v>
      </c>
      <c r="X32" s="39" t="e">
        <f t="shared" si="25"/>
        <v>#DIV/0!</v>
      </c>
      <c r="Y32" s="39" t="e">
        <f t="shared" si="26"/>
        <v>#DIV/0!</v>
      </c>
      <c r="Z32" s="39" t="e">
        <f t="shared" si="27"/>
        <v>#DIV/0!</v>
      </c>
      <c r="AA32" s="39" t="e">
        <f t="shared" si="28"/>
        <v>#DIV/0!</v>
      </c>
      <c r="AB32" s="39" t="e">
        <f t="shared" si="29"/>
        <v>#DIV/0!</v>
      </c>
      <c r="AC32" s="39" t="e">
        <f t="shared" si="30"/>
        <v>#DIV/0!</v>
      </c>
      <c r="AF32" s="20"/>
      <c r="AG32" s="20"/>
      <c r="AI32" s="20"/>
      <c r="AJ32" s="20"/>
      <c r="AK32" s="20"/>
      <c r="AL32" s="20"/>
      <c r="AM32" s="20"/>
      <c r="AN32" s="20"/>
      <c r="AO32" s="20"/>
      <c r="AP32" s="20"/>
      <c r="AQ32" s="20"/>
      <c r="AR32" s="20"/>
    </row>
    <row r="33" spans="1:44">
      <c r="A33" s="23">
        <v>29</v>
      </c>
      <c r="B33" s="26"/>
      <c r="C33" s="24"/>
      <c r="D33" s="24"/>
      <c r="E33" s="25"/>
      <c r="F33" s="26"/>
      <c r="G33" s="26"/>
      <c r="H33" s="26"/>
      <c r="I33" s="26"/>
      <c r="J33" s="26"/>
      <c r="K33" s="26"/>
      <c r="L33" s="26"/>
      <c r="M33" s="26"/>
      <c r="N33" s="26"/>
      <c r="P33" s="44">
        <v>29</v>
      </c>
      <c r="Q33" s="39">
        <f t="shared" si="19"/>
        <v>0</v>
      </c>
      <c r="R33" s="39">
        <f t="shared" si="20"/>
        <v>0</v>
      </c>
      <c r="S33" s="39">
        <f t="shared" si="21"/>
        <v>0</v>
      </c>
      <c r="T33" s="39">
        <f t="shared" si="22"/>
        <v>0</v>
      </c>
      <c r="U33" s="39">
        <f t="shared" si="21"/>
        <v>0</v>
      </c>
      <c r="V33" s="39" t="e">
        <f t="shared" si="23"/>
        <v>#DIV/0!</v>
      </c>
      <c r="W33" s="39" t="e">
        <f t="shared" si="24"/>
        <v>#DIV/0!</v>
      </c>
      <c r="X33" s="39" t="e">
        <f t="shared" si="25"/>
        <v>#DIV/0!</v>
      </c>
      <c r="Y33" s="39" t="e">
        <f t="shared" si="26"/>
        <v>#DIV/0!</v>
      </c>
      <c r="Z33" s="39" t="e">
        <f t="shared" si="27"/>
        <v>#DIV/0!</v>
      </c>
      <c r="AA33" s="39" t="e">
        <f t="shared" si="28"/>
        <v>#DIV/0!</v>
      </c>
      <c r="AB33" s="39" t="e">
        <f t="shared" si="29"/>
        <v>#DIV/0!</v>
      </c>
      <c r="AC33" s="39" t="e">
        <f t="shared" si="30"/>
        <v>#DIV/0!</v>
      </c>
      <c r="AF33" s="20"/>
      <c r="AG33" s="20"/>
      <c r="AI33" s="20"/>
      <c r="AJ33" s="20"/>
      <c r="AK33" s="20"/>
      <c r="AL33" s="20"/>
      <c r="AM33" s="20"/>
      <c r="AN33" s="20"/>
      <c r="AO33" s="20"/>
      <c r="AP33" s="20"/>
      <c r="AQ33" s="20"/>
      <c r="AR33" s="20"/>
    </row>
    <row r="34" spans="1:44">
      <c r="A34" s="23">
        <v>30</v>
      </c>
      <c r="B34" s="26"/>
      <c r="C34" s="24"/>
      <c r="D34" s="24"/>
      <c r="E34" s="25"/>
      <c r="F34" s="26"/>
      <c r="G34" s="26"/>
      <c r="H34" s="26"/>
      <c r="I34" s="26"/>
      <c r="J34" s="26"/>
      <c r="K34" s="26"/>
      <c r="L34" s="26"/>
      <c r="M34" s="26"/>
      <c r="N34" s="26"/>
      <c r="P34" s="44">
        <v>30</v>
      </c>
      <c r="Q34" s="39">
        <f t="shared" si="19"/>
        <v>0</v>
      </c>
      <c r="R34" s="39">
        <f t="shared" si="20"/>
        <v>0</v>
      </c>
      <c r="S34" s="39">
        <f t="shared" si="21"/>
        <v>0</v>
      </c>
      <c r="T34" s="39">
        <f t="shared" si="22"/>
        <v>0</v>
      </c>
      <c r="U34" s="39">
        <f t="shared" si="21"/>
        <v>0</v>
      </c>
      <c r="V34" s="39" t="e">
        <f t="shared" si="23"/>
        <v>#DIV/0!</v>
      </c>
      <c r="W34" s="39" t="e">
        <f t="shared" si="24"/>
        <v>#DIV/0!</v>
      </c>
      <c r="X34" s="39" t="e">
        <f t="shared" si="25"/>
        <v>#DIV/0!</v>
      </c>
      <c r="Y34" s="39" t="e">
        <f t="shared" si="26"/>
        <v>#DIV/0!</v>
      </c>
      <c r="Z34" s="39" t="e">
        <f t="shared" si="27"/>
        <v>#DIV/0!</v>
      </c>
      <c r="AA34" s="39" t="e">
        <f t="shared" si="28"/>
        <v>#DIV/0!</v>
      </c>
      <c r="AB34" s="39" t="e">
        <f t="shared" si="29"/>
        <v>#DIV/0!</v>
      </c>
      <c r="AC34" s="39" t="e">
        <f t="shared" si="30"/>
        <v>#DIV/0!</v>
      </c>
      <c r="AF34" s="20"/>
      <c r="AG34" s="20"/>
      <c r="AI34" s="20"/>
      <c r="AJ34" s="20"/>
      <c r="AK34" s="20"/>
      <c r="AL34" s="20"/>
      <c r="AM34" s="20"/>
      <c r="AN34" s="20"/>
      <c r="AO34" s="20"/>
      <c r="AP34" s="20"/>
      <c r="AQ34" s="20"/>
      <c r="AR34" s="20"/>
    </row>
    <row r="35" spans="1:44" ht="16" thickBot="1">
      <c r="A35" s="42" t="s">
        <v>133</v>
      </c>
      <c r="B35" s="37">
        <f>SUM(B5:B34)</f>
        <v>9086</v>
      </c>
      <c r="C35" s="37">
        <f t="shared" ref="C35:N35" si="31">SUM(C5:C34)</f>
        <v>36326</v>
      </c>
      <c r="D35" s="204">
        <f>SUM(D5:D34)</f>
        <v>11714</v>
      </c>
      <c r="E35" s="37">
        <f t="shared" si="31"/>
        <v>4690</v>
      </c>
      <c r="F35" s="37">
        <f t="shared" si="31"/>
        <v>18159</v>
      </c>
      <c r="G35" s="37">
        <f t="shared" si="31"/>
        <v>0</v>
      </c>
      <c r="H35" s="37">
        <f t="shared" si="31"/>
        <v>0</v>
      </c>
      <c r="I35" s="37">
        <f t="shared" si="31"/>
        <v>0</v>
      </c>
      <c r="J35" s="37">
        <f t="shared" si="31"/>
        <v>0</v>
      </c>
      <c r="K35" s="37">
        <f t="shared" si="31"/>
        <v>0</v>
      </c>
      <c r="L35" s="37">
        <f t="shared" si="31"/>
        <v>0</v>
      </c>
      <c r="M35" s="37">
        <f t="shared" si="31"/>
        <v>0</v>
      </c>
      <c r="N35" s="37">
        <f t="shared" si="31"/>
        <v>0</v>
      </c>
      <c r="Q35" s="43"/>
    </row>
    <row r="36" spans="1:44" ht="16" thickTop="1"/>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5"/>
  <sheetViews>
    <sheetView topLeftCell="J11" zoomScale="80" zoomScaleNormal="80" workbookViewId="0">
      <selection activeCell="T46" sqref="T46"/>
    </sheetView>
  </sheetViews>
  <sheetFormatPr baseColWidth="10" defaultColWidth="8.6640625" defaultRowHeight="15"/>
  <cols>
    <col min="1" max="1" width="95.6640625" bestFit="1" customWidth="1"/>
    <col min="2" max="3" width="12.33203125" customWidth="1"/>
    <col min="4" max="4" width="12.33203125" style="20" customWidth="1"/>
    <col min="5" max="5" width="12.33203125" bestFit="1" customWidth="1"/>
    <col min="6" max="6" width="16.1640625" bestFit="1" customWidth="1"/>
    <col min="16" max="16" width="8.6640625" style="20"/>
    <col min="17" max="17" width="11.5" bestFit="1" customWidth="1"/>
    <col min="19" max="19" width="8.6640625" style="20"/>
  </cols>
  <sheetData>
    <row r="1" spans="1:29">
      <c r="A1" s="49" t="s">
        <v>138</v>
      </c>
      <c r="B1" s="16"/>
      <c r="C1" s="16"/>
      <c r="E1" s="16"/>
      <c r="F1" s="16"/>
    </row>
    <row r="2" spans="1:29">
      <c r="A2" s="10" t="s">
        <v>7</v>
      </c>
      <c r="B2" s="16"/>
      <c r="C2" s="16"/>
      <c r="E2" s="16"/>
      <c r="F2" s="16"/>
    </row>
    <row r="3" spans="1:29" ht="16" thickBot="1">
      <c r="A3" s="16"/>
      <c r="B3" s="16"/>
      <c r="C3" s="16"/>
      <c r="E3" s="16"/>
      <c r="F3" s="16"/>
      <c r="Q3" t="s">
        <v>147</v>
      </c>
    </row>
    <row r="4" spans="1:29" ht="30" customHeight="1" thickBot="1">
      <c r="A4" s="19"/>
      <c r="B4" s="22" t="str">
        <f>Table_4.0_Information!$A$4</f>
        <v>Colorado</v>
      </c>
      <c r="C4" s="22" t="str">
        <f>Table_4.0_Information!$A$5</f>
        <v>Kentucky</v>
      </c>
      <c r="D4" s="22" t="s">
        <v>337</v>
      </c>
      <c r="E4" s="22" t="str">
        <f>Table_4.0_Information!$A$6</f>
        <v>New Mexico</v>
      </c>
      <c r="F4" s="22" t="s">
        <v>338</v>
      </c>
      <c r="G4" s="22" t="str">
        <f>Table_4.0_Information!$A$8</f>
        <v>5 add state in table 0</v>
      </c>
      <c r="H4" s="22" t="str">
        <f>Table_4.0_Information!$A$9</f>
        <v>6 add state in table 0</v>
      </c>
      <c r="I4" s="22" t="str">
        <f>Table_4.0_Information!$A$10</f>
        <v>7 add state in table 0</v>
      </c>
      <c r="J4" s="22" t="str">
        <f>Table_4.0_Information!$A$11</f>
        <v>8 add state in table 0</v>
      </c>
      <c r="K4" s="22" t="str">
        <f>Table_4.0_Information!$A$12</f>
        <v>9 add state in table 0</v>
      </c>
      <c r="L4" s="22" t="str">
        <f>Table_4.0_Information!$A$13</f>
        <v>10 add state in table 0</v>
      </c>
      <c r="M4" s="22" t="str">
        <f>Table_4.0_Information!$A$14</f>
        <v>11 add state in table 0</v>
      </c>
      <c r="N4" s="22" t="str">
        <f>Table_4.0_Information!$A$15</f>
        <v>12 add state in table 0</v>
      </c>
      <c r="Q4" s="22" t="str">
        <f>Table_4.0_Information!$A$4</f>
        <v>Colorado</v>
      </c>
      <c r="R4" s="22" t="str">
        <f>Table_4.0_Information!$A$5</f>
        <v>Kentucky</v>
      </c>
      <c r="S4" s="22" t="s">
        <v>337</v>
      </c>
      <c r="T4" s="22" t="str">
        <f>Table_4.0_Information!$A$6</f>
        <v>New Mexico</v>
      </c>
      <c r="U4" s="22" t="s">
        <v>445</v>
      </c>
      <c r="V4" s="22" t="str">
        <f>Table_4.0_Information!$A$8</f>
        <v>5 add state in table 0</v>
      </c>
      <c r="W4" s="22" t="str">
        <f>Table_4.0_Information!$A$9</f>
        <v>6 add state in table 0</v>
      </c>
      <c r="X4" s="22" t="str">
        <f>Table_4.0_Information!$A$10</f>
        <v>7 add state in table 0</v>
      </c>
      <c r="Y4" s="22" t="str">
        <f>Table_4.0_Information!$A$11</f>
        <v>8 add state in table 0</v>
      </c>
      <c r="Z4" s="22" t="str">
        <f>Table_4.0_Information!$A$12</f>
        <v>9 add state in table 0</v>
      </c>
      <c r="AA4" s="22" t="str">
        <f>Table_4.0_Information!$A$13</f>
        <v>10 add state in table 0</v>
      </c>
      <c r="AB4" s="22" t="str">
        <f>Table_4.0_Information!$A$14</f>
        <v>11 add state in table 0</v>
      </c>
      <c r="AC4" s="22" t="str">
        <f>Table_4.0_Information!$A$15</f>
        <v>12 add state in table 0</v>
      </c>
    </row>
    <row r="5" spans="1:29" ht="17" thickTop="1">
      <c r="A5" s="31" t="s">
        <v>8</v>
      </c>
      <c r="B5" s="67">
        <v>5</v>
      </c>
      <c r="C5" s="67">
        <v>31</v>
      </c>
      <c r="D5" s="207">
        <v>157</v>
      </c>
      <c r="E5" s="67">
        <v>42</v>
      </c>
      <c r="F5" s="67">
        <v>23</v>
      </c>
      <c r="G5" s="24"/>
      <c r="H5" s="26"/>
      <c r="I5" s="24"/>
      <c r="J5" s="26"/>
      <c r="K5" s="26"/>
      <c r="L5" s="26"/>
      <c r="M5" s="26"/>
      <c r="N5" s="26"/>
      <c r="P5" s="20" t="s">
        <v>8</v>
      </c>
      <c r="Q5" s="46" t="b">
        <f>Q25=B5/B$31</f>
        <v>0</v>
      </c>
      <c r="R5" s="46">
        <f>C5/C$31</f>
        <v>8.301421953244249E-4</v>
      </c>
      <c r="S5" s="46">
        <f>D5/D$31</f>
        <v>1.2347620920173025E-2</v>
      </c>
      <c r="T5" s="46">
        <f t="shared" ref="T5:AC5" si="0">E5/E$31</f>
        <v>8.3983203359328136E-3</v>
      </c>
      <c r="U5" s="46">
        <f t="shared" si="0"/>
        <v>1.2141047297297297E-3</v>
      </c>
      <c r="V5" s="46" t="e">
        <f t="shared" si="0"/>
        <v>#DIV/0!</v>
      </c>
      <c r="W5" s="46" t="e">
        <f t="shared" si="0"/>
        <v>#DIV/0!</v>
      </c>
      <c r="X5" s="46" t="e">
        <f t="shared" si="0"/>
        <v>#DIV/0!</v>
      </c>
      <c r="Y5" s="46" t="e">
        <f t="shared" si="0"/>
        <v>#DIV/0!</v>
      </c>
      <c r="Z5" s="46" t="e">
        <f t="shared" si="0"/>
        <v>#DIV/0!</v>
      </c>
      <c r="AA5" s="46" t="e">
        <f t="shared" si="0"/>
        <v>#DIV/0!</v>
      </c>
      <c r="AB5" s="46" t="e">
        <f t="shared" si="0"/>
        <v>#DIV/0!</v>
      </c>
      <c r="AC5" s="46" t="e">
        <f t="shared" si="0"/>
        <v>#DIV/0!</v>
      </c>
    </row>
    <row r="6" spans="1:29" ht="16">
      <c r="A6" s="31" t="s">
        <v>9</v>
      </c>
      <c r="B6" s="67">
        <v>1</v>
      </c>
      <c r="C6" s="67" t="s">
        <v>255</v>
      </c>
      <c r="D6" s="208">
        <v>16</v>
      </c>
      <c r="E6" s="67">
        <v>0</v>
      </c>
      <c r="F6" s="67">
        <v>2</v>
      </c>
      <c r="G6" s="24"/>
      <c r="H6" s="26"/>
      <c r="I6" s="24"/>
      <c r="J6" s="26"/>
      <c r="K6" s="26"/>
      <c r="L6" s="26"/>
      <c r="M6" s="26"/>
      <c r="N6" s="26"/>
      <c r="P6" s="20" t="s">
        <v>9</v>
      </c>
      <c r="Q6" s="46">
        <f t="shared" ref="Q6:Q9" si="1">B6/B$31</f>
        <v>1.0245901639344262E-4</v>
      </c>
      <c r="R6" s="46" t="e">
        <f t="shared" ref="R6:S9" si="2">C6/C$31</f>
        <v>#VALUE!</v>
      </c>
      <c r="S6" s="46">
        <f t="shared" si="2"/>
        <v>1.2583562721195439E-3</v>
      </c>
      <c r="T6" s="46">
        <f t="shared" ref="T6:T9" si="3">E6/E$31</f>
        <v>0</v>
      </c>
      <c r="U6" s="46">
        <f t="shared" ref="U6:U9" si="4">F6/F$31</f>
        <v>1.0557432432432433E-4</v>
      </c>
      <c r="V6" s="46" t="e">
        <f t="shared" ref="V6:V9" si="5">G6/G$31</f>
        <v>#DIV/0!</v>
      </c>
      <c r="W6" s="46" t="e">
        <f t="shared" ref="W6:W9" si="6">H6/H$31</f>
        <v>#DIV/0!</v>
      </c>
      <c r="X6" s="46" t="e">
        <f t="shared" ref="X6:X9" si="7">I6/I$31</f>
        <v>#DIV/0!</v>
      </c>
      <c r="Y6" s="46" t="e">
        <f t="shared" ref="Y6:Y9" si="8">J6/J$31</f>
        <v>#DIV/0!</v>
      </c>
      <c r="Z6" s="46" t="e">
        <f t="shared" ref="Z6:Z9" si="9">K6/K$31</f>
        <v>#DIV/0!</v>
      </c>
      <c r="AA6" s="46" t="e">
        <f t="shared" ref="AA6:AA9" si="10">L6/L$31</f>
        <v>#DIV/0!</v>
      </c>
      <c r="AB6" s="46" t="e">
        <f t="shared" ref="AB6:AB9" si="11">M6/M$31</f>
        <v>#DIV/0!</v>
      </c>
      <c r="AC6" s="46" t="e">
        <f t="shared" ref="AC6:AC9" si="12">N6/N$31</f>
        <v>#DIV/0!</v>
      </c>
    </row>
    <row r="7" spans="1:29" ht="16">
      <c r="A7" s="31" t="s">
        <v>10</v>
      </c>
      <c r="B7" s="67">
        <v>4</v>
      </c>
      <c r="C7" s="67">
        <v>16</v>
      </c>
      <c r="D7" s="208">
        <v>26</v>
      </c>
      <c r="E7" s="67">
        <v>4</v>
      </c>
      <c r="F7" s="67">
        <v>28</v>
      </c>
      <c r="G7" s="24"/>
      <c r="H7" s="26"/>
      <c r="I7" s="24"/>
      <c r="J7" s="26"/>
      <c r="K7" s="26"/>
      <c r="L7" s="26"/>
      <c r="M7" s="26"/>
      <c r="N7" s="26"/>
      <c r="P7" s="20" t="s">
        <v>10</v>
      </c>
      <c r="Q7" s="46">
        <f t="shared" si="1"/>
        <v>4.0983606557377049E-4</v>
      </c>
      <c r="R7" s="46">
        <f t="shared" si="2"/>
        <v>4.2846048790938062E-4</v>
      </c>
      <c r="S7" s="46">
        <f t="shared" si="2"/>
        <v>2.0448289421942586E-3</v>
      </c>
      <c r="T7" s="46">
        <f t="shared" si="3"/>
        <v>7.9984003199360125E-4</v>
      </c>
      <c r="U7" s="46">
        <f t="shared" si="4"/>
        <v>1.4780405405405406E-3</v>
      </c>
      <c r="V7" s="46" t="e">
        <f t="shared" si="5"/>
        <v>#DIV/0!</v>
      </c>
      <c r="W7" s="46" t="e">
        <f t="shared" si="6"/>
        <v>#DIV/0!</v>
      </c>
      <c r="X7" s="46" t="e">
        <f t="shared" si="7"/>
        <v>#DIV/0!</v>
      </c>
      <c r="Y7" s="46" t="e">
        <f t="shared" si="8"/>
        <v>#DIV/0!</v>
      </c>
      <c r="Z7" s="46" t="e">
        <f t="shared" si="9"/>
        <v>#DIV/0!</v>
      </c>
      <c r="AA7" s="46" t="e">
        <f t="shared" si="10"/>
        <v>#DIV/0!</v>
      </c>
      <c r="AB7" s="46" t="e">
        <f t="shared" si="11"/>
        <v>#DIV/0!</v>
      </c>
      <c r="AC7" s="46" t="e">
        <f t="shared" si="12"/>
        <v>#DIV/0!</v>
      </c>
    </row>
    <row r="8" spans="1:29" ht="16">
      <c r="A8" s="31" t="s">
        <v>11</v>
      </c>
      <c r="B8" s="67">
        <v>37</v>
      </c>
      <c r="C8" s="67">
        <v>151</v>
      </c>
      <c r="D8" s="208">
        <v>71</v>
      </c>
      <c r="E8" s="67">
        <v>30</v>
      </c>
      <c r="F8" s="67">
        <v>113</v>
      </c>
      <c r="G8" s="26"/>
      <c r="H8" s="26"/>
      <c r="I8" s="26"/>
      <c r="J8" s="26"/>
      <c r="K8" s="26"/>
      <c r="L8" s="26"/>
      <c r="M8" s="26"/>
      <c r="N8" s="26"/>
      <c r="P8" s="20" t="s">
        <v>11</v>
      </c>
      <c r="Q8" s="46">
        <f t="shared" si="1"/>
        <v>3.7909836065573772E-3</v>
      </c>
      <c r="R8" s="46">
        <f t="shared" si="2"/>
        <v>4.0435958546447791E-3</v>
      </c>
      <c r="S8" s="46">
        <f t="shared" si="2"/>
        <v>5.5839559575304757E-3</v>
      </c>
      <c r="T8" s="46">
        <f t="shared" si="3"/>
        <v>5.99880023995201E-3</v>
      </c>
      <c r="U8" s="46">
        <f t="shared" si="4"/>
        <v>5.9649493243243241E-3</v>
      </c>
      <c r="V8" s="46" t="e">
        <f t="shared" si="5"/>
        <v>#DIV/0!</v>
      </c>
      <c r="W8" s="46" t="e">
        <f t="shared" si="6"/>
        <v>#DIV/0!</v>
      </c>
      <c r="X8" s="46" t="e">
        <f t="shared" si="7"/>
        <v>#DIV/0!</v>
      </c>
      <c r="Y8" s="46" t="e">
        <f t="shared" si="8"/>
        <v>#DIV/0!</v>
      </c>
      <c r="Z8" s="46" t="e">
        <f t="shared" si="9"/>
        <v>#DIV/0!</v>
      </c>
      <c r="AA8" s="46" t="e">
        <f t="shared" si="10"/>
        <v>#DIV/0!</v>
      </c>
      <c r="AB8" s="46" t="e">
        <f t="shared" si="11"/>
        <v>#DIV/0!</v>
      </c>
      <c r="AC8" s="46" t="e">
        <f t="shared" si="12"/>
        <v>#DIV/0!</v>
      </c>
    </row>
    <row r="9" spans="1:29" ht="16">
      <c r="A9" s="31" t="s">
        <v>12</v>
      </c>
      <c r="B9" s="67">
        <v>685</v>
      </c>
      <c r="C9" s="67">
        <v>1031</v>
      </c>
      <c r="D9" s="208">
        <v>1148</v>
      </c>
      <c r="E9" s="67">
        <v>313</v>
      </c>
      <c r="F9" s="67">
        <v>797</v>
      </c>
      <c r="G9" s="26"/>
      <c r="H9" s="26"/>
      <c r="I9" s="26"/>
      <c r="J9" s="26"/>
      <c r="K9" s="26"/>
      <c r="L9" s="26"/>
      <c r="M9" s="26"/>
      <c r="N9" s="26"/>
      <c r="P9" s="20" t="s">
        <v>12</v>
      </c>
      <c r="Q9" s="46">
        <f t="shared" si="1"/>
        <v>7.0184426229508198E-2</v>
      </c>
      <c r="R9" s="46">
        <f t="shared" si="2"/>
        <v>2.7608922689660712E-2</v>
      </c>
      <c r="S9" s="46">
        <f t="shared" si="2"/>
        <v>9.0287062524577272E-2</v>
      </c>
      <c r="T9" s="46">
        <f t="shared" si="3"/>
        <v>6.2587482503499298E-2</v>
      </c>
      <c r="U9" s="46">
        <f t="shared" si="4"/>
        <v>4.2071368243243243E-2</v>
      </c>
      <c r="V9" s="46" t="e">
        <f t="shared" si="5"/>
        <v>#DIV/0!</v>
      </c>
      <c r="W9" s="46" t="e">
        <f t="shared" si="6"/>
        <v>#DIV/0!</v>
      </c>
      <c r="X9" s="46" t="e">
        <f t="shared" si="7"/>
        <v>#DIV/0!</v>
      </c>
      <c r="Y9" s="46" t="e">
        <f t="shared" si="8"/>
        <v>#DIV/0!</v>
      </c>
      <c r="Z9" s="46" t="e">
        <f t="shared" si="9"/>
        <v>#DIV/0!</v>
      </c>
      <c r="AA9" s="46" t="e">
        <f t="shared" si="10"/>
        <v>#DIV/0!</v>
      </c>
      <c r="AB9" s="46" t="e">
        <f t="shared" si="11"/>
        <v>#DIV/0!</v>
      </c>
      <c r="AC9" s="46" t="e">
        <f t="shared" si="12"/>
        <v>#DIV/0!</v>
      </c>
    </row>
    <row r="10" spans="1:29" s="20" customFormat="1">
      <c r="A10" s="20" t="s">
        <v>45</v>
      </c>
      <c r="B10" s="67">
        <v>1</v>
      </c>
      <c r="C10" s="67">
        <v>7</v>
      </c>
      <c r="D10" s="208">
        <v>5</v>
      </c>
      <c r="E10" s="67">
        <v>0</v>
      </c>
      <c r="F10" s="67">
        <v>10</v>
      </c>
      <c r="G10" s="26"/>
      <c r="H10" s="26"/>
      <c r="I10" s="26"/>
      <c r="J10" s="26"/>
      <c r="K10" s="26"/>
      <c r="L10" s="26"/>
      <c r="M10" s="26"/>
      <c r="N10" s="26"/>
      <c r="P10" s="20" t="s">
        <v>13</v>
      </c>
      <c r="Q10" s="46">
        <f>B18/B$31</f>
        <v>2.0491803278688525E-4</v>
      </c>
      <c r="R10" s="46">
        <f>C18/C$31</f>
        <v>4.6059502450258418E-3</v>
      </c>
      <c r="S10" s="46">
        <f>D18/D$31</f>
        <v>6.9996067636649622E-3</v>
      </c>
      <c r="T10" s="46">
        <f t="shared" ref="T10:AC10" si="13">E18/E$31</f>
        <v>5.5988802239552091E-3</v>
      </c>
      <c r="U10" s="46">
        <f t="shared" si="13"/>
        <v>8.7098817567567571E-3</v>
      </c>
      <c r="V10" s="46" t="e">
        <f t="shared" si="13"/>
        <v>#DIV/0!</v>
      </c>
      <c r="W10" s="46" t="e">
        <f t="shared" si="13"/>
        <v>#DIV/0!</v>
      </c>
      <c r="X10" s="46" t="e">
        <f t="shared" si="13"/>
        <v>#DIV/0!</v>
      </c>
      <c r="Y10" s="46" t="e">
        <f t="shared" si="13"/>
        <v>#DIV/0!</v>
      </c>
      <c r="Z10" s="46" t="e">
        <f t="shared" si="13"/>
        <v>#DIV/0!</v>
      </c>
      <c r="AA10" s="46" t="e">
        <f t="shared" si="13"/>
        <v>#DIV/0!</v>
      </c>
      <c r="AB10" s="46" t="e">
        <f t="shared" si="13"/>
        <v>#DIV/0!</v>
      </c>
      <c r="AC10" s="46" t="e">
        <f t="shared" si="13"/>
        <v>#DIV/0!</v>
      </c>
    </row>
    <row r="11" spans="1:29" s="20" customFormat="1">
      <c r="A11" s="20" t="s">
        <v>46</v>
      </c>
      <c r="B11" s="67">
        <v>295</v>
      </c>
      <c r="C11" s="67">
        <v>537</v>
      </c>
      <c r="D11" s="208">
        <v>517</v>
      </c>
      <c r="E11" s="67">
        <v>123</v>
      </c>
      <c r="F11" s="67">
        <v>348</v>
      </c>
      <c r="G11" s="26"/>
      <c r="H11" s="26"/>
      <c r="I11" s="26"/>
      <c r="J11" s="26"/>
      <c r="K11" s="26"/>
      <c r="L11" s="26"/>
      <c r="M11" s="26"/>
      <c r="N11" s="26"/>
      <c r="P11" s="20" t="s">
        <v>77</v>
      </c>
      <c r="Q11" s="46">
        <f t="shared" ref="Q11:Q22" si="14">B19/B$31</f>
        <v>4.5081967213114757E-3</v>
      </c>
      <c r="R11" s="46">
        <f t="shared" ref="R11:S22" si="15">C19/C$31</f>
        <v>3.7490292692070803E-4</v>
      </c>
      <c r="S11" s="46">
        <f t="shared" si="15"/>
        <v>3.9323633503735744E-4</v>
      </c>
      <c r="T11" s="46">
        <f t="shared" ref="T11:T22" si="16">E19/E$31</f>
        <v>1.1997600479904018E-3</v>
      </c>
      <c r="U11" s="46">
        <f t="shared" ref="U11:U22" si="17">F19/F$31</f>
        <v>3.1672297297297299E-4</v>
      </c>
      <c r="V11" s="46" t="e">
        <f t="shared" ref="V11:V22" si="18">G19/G$31</f>
        <v>#DIV/0!</v>
      </c>
      <c r="W11" s="46" t="e">
        <f t="shared" ref="W11:W22" si="19">H19/H$31</f>
        <v>#DIV/0!</v>
      </c>
      <c r="X11" s="46" t="e">
        <f t="shared" ref="X11:X22" si="20">I19/I$31</f>
        <v>#DIV/0!</v>
      </c>
      <c r="Y11" s="46" t="e">
        <f t="shared" ref="Y11:Y22" si="21">J19/J$31</f>
        <v>#DIV/0!</v>
      </c>
      <c r="Z11" s="46" t="e">
        <f t="shared" ref="Z11:Z22" si="22">K19/K$31</f>
        <v>#DIV/0!</v>
      </c>
      <c r="AA11" s="46" t="e">
        <f t="shared" ref="AA11:AA22" si="23">L19/L$31</f>
        <v>#DIV/0!</v>
      </c>
      <c r="AB11" s="46" t="e">
        <f t="shared" ref="AB11:AB22" si="24">M19/M$31</f>
        <v>#DIV/0!</v>
      </c>
      <c r="AC11" s="46" t="e">
        <f t="shared" ref="AC11:AC22" si="25">N19/N$31</f>
        <v>#DIV/0!</v>
      </c>
    </row>
    <row r="12" spans="1:29" s="20" customFormat="1">
      <c r="A12" s="20" t="s">
        <v>47</v>
      </c>
      <c r="B12" s="67">
        <v>15</v>
      </c>
      <c r="C12" s="67">
        <v>19</v>
      </c>
      <c r="D12" s="208">
        <v>52</v>
      </c>
      <c r="E12" s="67">
        <v>12</v>
      </c>
      <c r="F12" s="67">
        <v>21</v>
      </c>
      <c r="G12" s="26"/>
      <c r="H12" s="26"/>
      <c r="I12" s="26"/>
      <c r="J12" s="26"/>
      <c r="K12" s="26"/>
      <c r="L12" s="26"/>
      <c r="M12" s="26"/>
      <c r="N12" s="26"/>
      <c r="P12" s="20" t="s">
        <v>14</v>
      </c>
      <c r="Q12" s="46">
        <f t="shared" si="14"/>
        <v>2.971311475409836E-3</v>
      </c>
      <c r="R12" s="46">
        <f t="shared" si="15"/>
        <v>6.5072436601237181E-3</v>
      </c>
      <c r="S12" s="46">
        <f t="shared" si="15"/>
        <v>2.2099882029099488E-2</v>
      </c>
      <c r="T12" s="46">
        <f t="shared" si="16"/>
        <v>5.3989202159568086E-3</v>
      </c>
      <c r="U12" s="46">
        <f t="shared" si="17"/>
        <v>7.8125E-3</v>
      </c>
      <c r="V12" s="46" t="e">
        <f t="shared" si="18"/>
        <v>#DIV/0!</v>
      </c>
      <c r="W12" s="46" t="e">
        <f t="shared" si="19"/>
        <v>#DIV/0!</v>
      </c>
      <c r="X12" s="46" t="e">
        <f t="shared" si="20"/>
        <v>#DIV/0!</v>
      </c>
      <c r="Y12" s="46" t="e">
        <f t="shared" si="21"/>
        <v>#DIV/0!</v>
      </c>
      <c r="Z12" s="46" t="e">
        <f t="shared" si="22"/>
        <v>#DIV/0!</v>
      </c>
      <c r="AA12" s="46" t="e">
        <f t="shared" si="23"/>
        <v>#DIV/0!</v>
      </c>
      <c r="AB12" s="46" t="e">
        <f t="shared" si="24"/>
        <v>#DIV/0!</v>
      </c>
      <c r="AC12" s="46" t="e">
        <f t="shared" si="25"/>
        <v>#DIV/0!</v>
      </c>
    </row>
    <row r="13" spans="1:29" s="20" customFormat="1">
      <c r="A13" s="20" t="s">
        <v>48</v>
      </c>
      <c r="B13" s="67">
        <v>284</v>
      </c>
      <c r="C13" s="67">
        <v>346</v>
      </c>
      <c r="D13" s="208">
        <v>459</v>
      </c>
      <c r="E13" s="67">
        <v>143</v>
      </c>
      <c r="F13" s="67">
        <v>316</v>
      </c>
      <c r="G13" s="26"/>
      <c r="H13" s="26"/>
      <c r="I13" s="26"/>
      <c r="J13" s="26"/>
      <c r="K13" s="26"/>
      <c r="L13" s="26"/>
      <c r="M13" s="26"/>
      <c r="N13" s="26"/>
      <c r="P13" s="20" t="s">
        <v>15</v>
      </c>
      <c r="Q13" s="46">
        <f t="shared" si="14"/>
        <v>3.4836065573770492E-3</v>
      </c>
      <c r="R13" s="46">
        <f t="shared" si="15"/>
        <v>6.721473904078408E-3</v>
      </c>
      <c r="S13" s="46">
        <f t="shared" si="15"/>
        <v>1.4392449862367283E-2</v>
      </c>
      <c r="T13" s="46">
        <f t="shared" si="16"/>
        <v>5.1989602079584082E-3</v>
      </c>
      <c r="U13" s="46">
        <f t="shared" si="17"/>
        <v>7.2318412162162161E-3</v>
      </c>
      <c r="V13" s="46" t="e">
        <f t="shared" si="18"/>
        <v>#DIV/0!</v>
      </c>
      <c r="W13" s="46" t="e">
        <f t="shared" si="19"/>
        <v>#DIV/0!</v>
      </c>
      <c r="X13" s="46" t="e">
        <f t="shared" si="20"/>
        <v>#DIV/0!</v>
      </c>
      <c r="Y13" s="46" t="e">
        <f t="shared" si="21"/>
        <v>#DIV/0!</v>
      </c>
      <c r="Z13" s="46" t="e">
        <f t="shared" si="22"/>
        <v>#DIV/0!</v>
      </c>
      <c r="AA13" s="46" t="e">
        <f t="shared" si="23"/>
        <v>#DIV/0!</v>
      </c>
      <c r="AB13" s="46" t="e">
        <f t="shared" si="24"/>
        <v>#DIV/0!</v>
      </c>
      <c r="AC13" s="46" t="e">
        <f t="shared" si="25"/>
        <v>#DIV/0!</v>
      </c>
    </row>
    <row r="14" spans="1:29" s="20" customFormat="1">
      <c r="A14" s="20" t="s">
        <v>49</v>
      </c>
      <c r="B14" s="67">
        <v>71</v>
      </c>
      <c r="C14" s="67">
        <v>107</v>
      </c>
      <c r="D14" s="208">
        <v>81</v>
      </c>
      <c r="E14" s="67">
        <v>29</v>
      </c>
      <c r="F14" s="67">
        <v>89</v>
      </c>
      <c r="G14" s="26"/>
      <c r="H14" s="26"/>
      <c r="I14" s="26"/>
      <c r="J14" s="26"/>
      <c r="K14" s="26"/>
      <c r="L14" s="26"/>
      <c r="M14" s="26"/>
      <c r="N14" s="26"/>
      <c r="P14" s="20" t="s">
        <v>16</v>
      </c>
      <c r="Q14" s="46">
        <f t="shared" si="14"/>
        <v>2.7663934426229507E-3</v>
      </c>
      <c r="R14" s="46">
        <f t="shared" si="15"/>
        <v>2.2226387810299121E-3</v>
      </c>
      <c r="S14" s="46">
        <f t="shared" si="15"/>
        <v>8.7298466378293357E-3</v>
      </c>
      <c r="T14" s="46">
        <f t="shared" si="16"/>
        <v>4.5990801839632077E-3</v>
      </c>
      <c r="U14" s="46">
        <f t="shared" si="17"/>
        <v>3.90625E-3</v>
      </c>
      <c r="V14" s="46" t="e">
        <f t="shared" si="18"/>
        <v>#DIV/0!</v>
      </c>
      <c r="W14" s="46" t="e">
        <f t="shared" si="19"/>
        <v>#DIV/0!</v>
      </c>
      <c r="X14" s="46" t="e">
        <f t="shared" si="20"/>
        <v>#DIV/0!</v>
      </c>
      <c r="Y14" s="46" t="e">
        <f t="shared" si="21"/>
        <v>#DIV/0!</v>
      </c>
      <c r="Z14" s="46" t="e">
        <f t="shared" si="22"/>
        <v>#DIV/0!</v>
      </c>
      <c r="AA14" s="46" t="e">
        <f t="shared" si="23"/>
        <v>#DIV/0!</v>
      </c>
      <c r="AB14" s="46" t="e">
        <f t="shared" si="24"/>
        <v>#DIV/0!</v>
      </c>
      <c r="AC14" s="46" t="e">
        <f t="shared" si="25"/>
        <v>#DIV/0!</v>
      </c>
    </row>
    <row r="15" spans="1:29" s="20" customFormat="1">
      <c r="A15" s="20" t="s">
        <v>50</v>
      </c>
      <c r="B15" s="67">
        <v>3</v>
      </c>
      <c r="C15" s="67">
        <v>5</v>
      </c>
      <c r="D15" s="208">
        <v>1</v>
      </c>
      <c r="E15" s="67">
        <v>2</v>
      </c>
      <c r="F15" s="67">
        <v>0</v>
      </c>
      <c r="G15" s="26"/>
      <c r="H15" s="26"/>
      <c r="I15" s="26"/>
      <c r="J15" s="26"/>
      <c r="K15" s="26"/>
      <c r="L15" s="26"/>
      <c r="M15" s="26"/>
      <c r="N15" s="26"/>
      <c r="P15" s="20" t="s">
        <v>17</v>
      </c>
      <c r="Q15" s="46">
        <f t="shared" si="14"/>
        <v>2.8688524590163933E-3</v>
      </c>
      <c r="R15" s="46">
        <f t="shared" si="15"/>
        <v>2.4904265859732747E-3</v>
      </c>
      <c r="S15" s="46">
        <f t="shared" si="15"/>
        <v>3.067243413291388E-3</v>
      </c>
      <c r="T15" s="46">
        <f t="shared" si="16"/>
        <v>2.5994801039792041E-3</v>
      </c>
      <c r="U15" s="46">
        <f t="shared" si="17"/>
        <v>1.636402027027027E-3</v>
      </c>
      <c r="V15" s="46" t="e">
        <f t="shared" si="18"/>
        <v>#DIV/0!</v>
      </c>
      <c r="W15" s="46" t="e">
        <f t="shared" si="19"/>
        <v>#DIV/0!</v>
      </c>
      <c r="X15" s="46" t="e">
        <f t="shared" si="20"/>
        <v>#DIV/0!</v>
      </c>
      <c r="Y15" s="46" t="e">
        <f t="shared" si="21"/>
        <v>#DIV/0!</v>
      </c>
      <c r="Z15" s="46" t="e">
        <f t="shared" si="22"/>
        <v>#DIV/0!</v>
      </c>
      <c r="AA15" s="46" t="e">
        <f t="shared" si="23"/>
        <v>#DIV/0!</v>
      </c>
      <c r="AB15" s="46" t="e">
        <f t="shared" si="24"/>
        <v>#DIV/0!</v>
      </c>
      <c r="AC15" s="46" t="e">
        <f t="shared" si="25"/>
        <v>#DIV/0!</v>
      </c>
    </row>
    <row r="16" spans="1:29" s="20" customFormat="1">
      <c r="A16" s="20" t="s">
        <v>51</v>
      </c>
      <c r="B16" s="67">
        <v>6</v>
      </c>
      <c r="C16" s="67" t="s">
        <v>255</v>
      </c>
      <c r="D16" s="208">
        <v>5</v>
      </c>
      <c r="E16" s="67">
        <v>2</v>
      </c>
      <c r="F16" s="67">
        <v>2</v>
      </c>
      <c r="G16" s="26"/>
      <c r="H16" s="26"/>
      <c r="I16" s="26"/>
      <c r="J16" s="26"/>
      <c r="K16" s="26"/>
      <c r="L16" s="26"/>
      <c r="M16" s="26"/>
      <c r="N16" s="26"/>
      <c r="P16" s="20" t="s">
        <v>18</v>
      </c>
      <c r="Q16" s="46">
        <f t="shared" si="14"/>
        <v>3.2786885245901639E-3</v>
      </c>
      <c r="R16" s="46">
        <f t="shared" si="15"/>
        <v>2.4904265859732747E-3</v>
      </c>
      <c r="S16" s="46">
        <f t="shared" si="15"/>
        <v>4.6401887534408175E-3</v>
      </c>
      <c r="T16" s="46">
        <f t="shared" si="16"/>
        <v>2.5994801039792041E-3</v>
      </c>
      <c r="U16" s="46">
        <f t="shared" si="17"/>
        <v>2.3226351351351353E-3</v>
      </c>
      <c r="V16" s="46" t="e">
        <f t="shared" si="18"/>
        <v>#DIV/0!</v>
      </c>
      <c r="W16" s="46" t="e">
        <f t="shared" si="19"/>
        <v>#DIV/0!</v>
      </c>
      <c r="X16" s="46" t="e">
        <f t="shared" si="20"/>
        <v>#DIV/0!</v>
      </c>
      <c r="Y16" s="46" t="e">
        <f t="shared" si="21"/>
        <v>#DIV/0!</v>
      </c>
      <c r="Z16" s="46" t="e">
        <f t="shared" si="22"/>
        <v>#DIV/0!</v>
      </c>
      <c r="AA16" s="46" t="e">
        <f t="shared" si="23"/>
        <v>#DIV/0!</v>
      </c>
      <c r="AB16" s="46" t="e">
        <f t="shared" si="24"/>
        <v>#DIV/0!</v>
      </c>
      <c r="AC16" s="46" t="e">
        <f t="shared" si="25"/>
        <v>#DIV/0!</v>
      </c>
    </row>
    <row r="17" spans="1:29" s="20" customFormat="1">
      <c r="A17" s="20" t="s">
        <v>52</v>
      </c>
      <c r="B17" s="67">
        <v>8</v>
      </c>
      <c r="C17" s="67">
        <v>7</v>
      </c>
      <c r="D17" s="208">
        <v>20</v>
      </c>
      <c r="E17" s="67">
        <v>2</v>
      </c>
      <c r="F17" s="67">
        <v>7</v>
      </c>
      <c r="G17" s="26"/>
      <c r="H17" s="26"/>
      <c r="I17" s="26"/>
      <c r="J17" s="26"/>
      <c r="K17" s="26"/>
      <c r="L17" s="26"/>
      <c r="M17" s="26"/>
      <c r="N17" s="26"/>
      <c r="P17" s="20" t="s">
        <v>19</v>
      </c>
      <c r="Q17" s="46">
        <f t="shared" si="14"/>
        <v>2.3565573770491805E-3</v>
      </c>
      <c r="R17" s="46">
        <f t="shared" si="15"/>
        <v>2.5439841469619474E-3</v>
      </c>
      <c r="S17" s="46">
        <f t="shared" si="15"/>
        <v>1.2583562721195438E-2</v>
      </c>
      <c r="T17" s="46">
        <f t="shared" si="16"/>
        <v>4.5990801839632077E-3</v>
      </c>
      <c r="U17" s="46">
        <f t="shared" si="17"/>
        <v>4.1701858108108107E-3</v>
      </c>
      <c r="V17" s="46" t="e">
        <f t="shared" si="18"/>
        <v>#DIV/0!</v>
      </c>
      <c r="W17" s="46" t="e">
        <f t="shared" si="19"/>
        <v>#DIV/0!</v>
      </c>
      <c r="X17" s="46" t="e">
        <f t="shared" si="20"/>
        <v>#DIV/0!</v>
      </c>
      <c r="Y17" s="46" t="e">
        <f t="shared" si="21"/>
        <v>#DIV/0!</v>
      </c>
      <c r="Z17" s="46" t="e">
        <f t="shared" si="22"/>
        <v>#DIV/0!</v>
      </c>
      <c r="AA17" s="46" t="e">
        <f t="shared" si="23"/>
        <v>#DIV/0!</v>
      </c>
      <c r="AB17" s="46" t="e">
        <f t="shared" si="24"/>
        <v>#DIV/0!</v>
      </c>
      <c r="AC17" s="46" t="e">
        <f t="shared" si="25"/>
        <v>#DIV/0!</v>
      </c>
    </row>
    <row r="18" spans="1:29" ht="16">
      <c r="A18" s="31" t="s">
        <v>13</v>
      </c>
      <c r="B18" s="67">
        <v>2</v>
      </c>
      <c r="C18" s="67">
        <v>172</v>
      </c>
      <c r="D18" s="208">
        <v>89</v>
      </c>
      <c r="E18" s="67">
        <v>28</v>
      </c>
      <c r="F18" s="67">
        <v>165</v>
      </c>
      <c r="G18" s="26"/>
      <c r="H18" s="26"/>
      <c r="I18" s="26"/>
      <c r="J18" s="26"/>
      <c r="K18" s="26"/>
      <c r="L18" s="26"/>
      <c r="M18" s="26"/>
      <c r="N18" s="26"/>
      <c r="P18" s="20" t="s">
        <v>20</v>
      </c>
      <c r="Q18" s="46">
        <f t="shared" si="14"/>
        <v>2.663934426229508E-3</v>
      </c>
      <c r="R18" s="46">
        <f t="shared" si="15"/>
        <v>2.9456658543769916E-3</v>
      </c>
      <c r="S18" s="46">
        <f t="shared" si="15"/>
        <v>3.3818324813212741E-3</v>
      </c>
      <c r="T18" s="46">
        <f t="shared" si="16"/>
        <v>2.5994801039792041E-3</v>
      </c>
      <c r="U18" s="46">
        <f t="shared" si="17"/>
        <v>3.0088682432432433E-3</v>
      </c>
      <c r="V18" s="46" t="e">
        <f t="shared" si="18"/>
        <v>#DIV/0!</v>
      </c>
      <c r="W18" s="46" t="e">
        <f t="shared" si="19"/>
        <v>#DIV/0!</v>
      </c>
      <c r="X18" s="46" t="e">
        <f t="shared" si="20"/>
        <v>#DIV/0!</v>
      </c>
      <c r="Y18" s="46" t="e">
        <f t="shared" si="21"/>
        <v>#DIV/0!</v>
      </c>
      <c r="Z18" s="46" t="e">
        <f t="shared" si="22"/>
        <v>#DIV/0!</v>
      </c>
      <c r="AA18" s="46" t="e">
        <f t="shared" si="23"/>
        <v>#DIV/0!</v>
      </c>
      <c r="AB18" s="46" t="e">
        <f t="shared" si="24"/>
        <v>#DIV/0!</v>
      </c>
      <c r="AC18" s="46" t="e">
        <f t="shared" si="25"/>
        <v>#DIV/0!</v>
      </c>
    </row>
    <row r="19" spans="1:29" ht="16">
      <c r="A19" s="31" t="s">
        <v>77</v>
      </c>
      <c r="B19" s="67">
        <v>44</v>
      </c>
      <c r="C19" s="67">
        <v>14</v>
      </c>
      <c r="D19" s="208">
        <v>5</v>
      </c>
      <c r="E19" s="67">
        <v>6</v>
      </c>
      <c r="F19" s="67">
        <v>6</v>
      </c>
      <c r="G19" s="26"/>
      <c r="H19" s="26"/>
      <c r="I19" s="26"/>
      <c r="J19" s="26"/>
      <c r="K19" s="26"/>
      <c r="L19" s="26"/>
      <c r="M19" s="26"/>
      <c r="N19" s="26"/>
      <c r="P19" s="20" t="s">
        <v>78</v>
      </c>
      <c r="Q19" s="46">
        <f t="shared" si="14"/>
        <v>1.0245901639344262E-4</v>
      </c>
      <c r="R19" s="46">
        <f t="shared" si="15"/>
        <v>0</v>
      </c>
      <c r="S19" s="46">
        <f t="shared" si="15"/>
        <v>7.8647267007471493E-5</v>
      </c>
      <c r="T19" s="46">
        <f t="shared" si="16"/>
        <v>0</v>
      </c>
      <c r="U19" s="46">
        <f t="shared" si="17"/>
        <v>0</v>
      </c>
      <c r="V19" s="46" t="e">
        <f t="shared" si="18"/>
        <v>#DIV/0!</v>
      </c>
      <c r="W19" s="46" t="e">
        <f t="shared" si="19"/>
        <v>#DIV/0!</v>
      </c>
      <c r="X19" s="46" t="e">
        <f t="shared" si="20"/>
        <v>#DIV/0!</v>
      </c>
      <c r="Y19" s="46" t="e">
        <f t="shared" si="21"/>
        <v>#DIV/0!</v>
      </c>
      <c r="Z19" s="46" t="e">
        <f t="shared" si="22"/>
        <v>#DIV/0!</v>
      </c>
      <c r="AA19" s="46" t="e">
        <f t="shared" si="23"/>
        <v>#DIV/0!</v>
      </c>
      <c r="AB19" s="46" t="e">
        <f t="shared" si="24"/>
        <v>#DIV/0!</v>
      </c>
      <c r="AC19" s="46" t="e">
        <f t="shared" si="25"/>
        <v>#DIV/0!</v>
      </c>
    </row>
    <row r="20" spans="1:29" ht="16">
      <c r="A20" s="31" t="s">
        <v>14</v>
      </c>
      <c r="B20" s="67">
        <v>29</v>
      </c>
      <c r="C20" s="67">
        <v>243</v>
      </c>
      <c r="D20" s="208">
        <v>281</v>
      </c>
      <c r="E20" s="67">
        <v>27</v>
      </c>
      <c r="F20" s="67">
        <v>148</v>
      </c>
      <c r="G20" s="26"/>
      <c r="H20" s="26"/>
      <c r="I20" s="26"/>
      <c r="J20" s="26"/>
      <c r="K20" s="26"/>
      <c r="L20" s="26"/>
      <c r="M20" s="26"/>
      <c r="N20" s="26"/>
      <c r="P20" s="20" t="s">
        <v>21</v>
      </c>
      <c r="Q20" s="46">
        <f t="shared" si="14"/>
        <v>4.8668032786885244E-2</v>
      </c>
      <c r="R20" s="46">
        <f t="shared" si="15"/>
        <v>2.92959858608039E-2</v>
      </c>
      <c r="S20" s="46">
        <f t="shared" si="15"/>
        <v>4.8289421942587493E-2</v>
      </c>
      <c r="T20" s="46">
        <f t="shared" si="16"/>
        <v>5.0589882023595281E-2</v>
      </c>
      <c r="U20" s="46">
        <f t="shared" si="17"/>
        <v>5.6904560810810814E-2</v>
      </c>
      <c r="V20" s="46" t="e">
        <f t="shared" si="18"/>
        <v>#DIV/0!</v>
      </c>
      <c r="W20" s="46" t="e">
        <f t="shared" si="19"/>
        <v>#DIV/0!</v>
      </c>
      <c r="X20" s="46" t="e">
        <f t="shared" si="20"/>
        <v>#DIV/0!</v>
      </c>
      <c r="Y20" s="46" t="e">
        <f t="shared" si="21"/>
        <v>#DIV/0!</v>
      </c>
      <c r="Z20" s="46" t="e">
        <f t="shared" si="22"/>
        <v>#DIV/0!</v>
      </c>
      <c r="AA20" s="46" t="e">
        <f t="shared" si="23"/>
        <v>#DIV/0!</v>
      </c>
      <c r="AB20" s="46" t="e">
        <f t="shared" si="24"/>
        <v>#DIV/0!</v>
      </c>
      <c r="AC20" s="46" t="e">
        <f t="shared" si="25"/>
        <v>#DIV/0!</v>
      </c>
    </row>
    <row r="21" spans="1:29" ht="16">
      <c r="A21" s="31" t="s">
        <v>15</v>
      </c>
      <c r="B21" s="67">
        <v>34</v>
      </c>
      <c r="C21" s="67">
        <v>251</v>
      </c>
      <c r="D21" s="208">
        <v>183</v>
      </c>
      <c r="E21" s="67">
        <v>26</v>
      </c>
      <c r="F21" s="67">
        <v>137</v>
      </c>
      <c r="G21" s="26"/>
      <c r="H21" s="26"/>
      <c r="I21" s="26"/>
      <c r="J21" s="26"/>
      <c r="K21" s="26"/>
      <c r="L21" s="26"/>
      <c r="M21" s="26"/>
      <c r="N21" s="26"/>
      <c r="P21" s="20" t="s">
        <v>22</v>
      </c>
      <c r="Q21" s="46">
        <f t="shared" si="14"/>
        <v>0.77612704918032782</v>
      </c>
      <c r="R21" s="46">
        <f t="shared" si="15"/>
        <v>0.87456819216452886</v>
      </c>
      <c r="S21" s="46">
        <f t="shared" si="15"/>
        <v>0.66425481714510426</v>
      </c>
      <c r="T21" s="46">
        <f t="shared" si="16"/>
        <v>0.76804639072185565</v>
      </c>
      <c r="U21" s="46">
        <f t="shared" si="17"/>
        <v>0.80278716216216217</v>
      </c>
      <c r="V21" s="46" t="e">
        <f t="shared" si="18"/>
        <v>#DIV/0!</v>
      </c>
      <c r="W21" s="46" t="e">
        <f t="shared" si="19"/>
        <v>#DIV/0!</v>
      </c>
      <c r="X21" s="46" t="e">
        <f t="shared" si="20"/>
        <v>#DIV/0!</v>
      </c>
      <c r="Y21" s="46" t="e">
        <f t="shared" si="21"/>
        <v>#DIV/0!</v>
      </c>
      <c r="Z21" s="46" t="e">
        <f t="shared" si="22"/>
        <v>#DIV/0!</v>
      </c>
      <c r="AA21" s="46" t="e">
        <f t="shared" si="23"/>
        <v>#DIV/0!</v>
      </c>
      <c r="AB21" s="46" t="e">
        <f t="shared" si="24"/>
        <v>#DIV/0!</v>
      </c>
      <c r="AC21" s="46" t="e">
        <f t="shared" si="25"/>
        <v>#DIV/0!</v>
      </c>
    </row>
    <row r="22" spans="1:29" ht="16">
      <c r="A22" s="31" t="s">
        <v>16</v>
      </c>
      <c r="B22" s="67">
        <v>27</v>
      </c>
      <c r="C22" s="67">
        <v>83</v>
      </c>
      <c r="D22" s="208">
        <v>111</v>
      </c>
      <c r="E22" s="67">
        <v>23</v>
      </c>
      <c r="F22" s="67">
        <v>74</v>
      </c>
      <c r="G22" s="26"/>
      <c r="H22" s="26"/>
      <c r="I22" s="26"/>
      <c r="J22" s="26"/>
      <c r="K22" s="26"/>
      <c r="L22" s="26"/>
      <c r="M22" s="26"/>
      <c r="N22" s="26"/>
      <c r="P22" s="20" t="s">
        <v>79</v>
      </c>
      <c r="Q22" s="46">
        <f t="shared" si="14"/>
        <v>5.0204918032786885E-3</v>
      </c>
      <c r="R22" s="46">
        <f t="shared" si="15"/>
        <v>4.7934017084861951E-3</v>
      </c>
      <c r="S22" s="46">
        <f t="shared" si="15"/>
        <v>9.9095556429414072E-3</v>
      </c>
      <c r="T22" s="46">
        <f t="shared" si="16"/>
        <v>6.5986802639472104E-3</v>
      </c>
      <c r="U22" s="46">
        <f t="shared" si="17"/>
        <v>8.4987331081081089E-3</v>
      </c>
      <c r="V22" s="46" t="e">
        <f t="shared" si="18"/>
        <v>#DIV/0!</v>
      </c>
      <c r="W22" s="46" t="e">
        <f t="shared" si="19"/>
        <v>#DIV/0!</v>
      </c>
      <c r="X22" s="46" t="e">
        <f t="shared" si="20"/>
        <v>#DIV/0!</v>
      </c>
      <c r="Y22" s="46" t="e">
        <f t="shared" si="21"/>
        <v>#DIV/0!</v>
      </c>
      <c r="Z22" s="46" t="e">
        <f t="shared" si="22"/>
        <v>#DIV/0!</v>
      </c>
      <c r="AA22" s="46" t="e">
        <f t="shared" si="23"/>
        <v>#DIV/0!</v>
      </c>
      <c r="AB22" s="46" t="e">
        <f t="shared" si="24"/>
        <v>#DIV/0!</v>
      </c>
      <c r="AC22" s="46" t="e">
        <f t="shared" si="25"/>
        <v>#DIV/0!</v>
      </c>
    </row>
    <row r="23" spans="1:29" ht="16">
      <c r="A23" s="31" t="s">
        <v>17</v>
      </c>
      <c r="B23" s="67">
        <v>28</v>
      </c>
      <c r="C23" s="67">
        <v>93</v>
      </c>
      <c r="D23" s="208">
        <v>39</v>
      </c>
      <c r="E23" s="67">
        <v>13</v>
      </c>
      <c r="F23" s="67">
        <v>31</v>
      </c>
      <c r="G23" s="26"/>
      <c r="H23" s="26"/>
      <c r="I23" s="26"/>
      <c r="J23" s="26"/>
      <c r="K23" s="26"/>
      <c r="L23" s="26"/>
      <c r="M23" s="26"/>
      <c r="N23" s="26"/>
    </row>
    <row r="24" spans="1:29" ht="85" thickBot="1">
      <c r="A24" s="31" t="s">
        <v>18</v>
      </c>
      <c r="B24" s="67">
        <v>32</v>
      </c>
      <c r="C24" s="67">
        <v>93</v>
      </c>
      <c r="D24" s="208">
        <v>59</v>
      </c>
      <c r="E24" s="67">
        <v>13</v>
      </c>
      <c r="F24" s="67">
        <v>44</v>
      </c>
      <c r="G24" s="26"/>
      <c r="H24" s="26"/>
      <c r="I24" s="26"/>
      <c r="J24" s="26"/>
      <c r="K24" s="26"/>
      <c r="L24" s="26"/>
      <c r="M24" s="26"/>
      <c r="N24" s="26"/>
      <c r="Q24" s="22" t="str">
        <f>Table_4.0_Information!$A$4</f>
        <v>Colorado</v>
      </c>
      <c r="R24" s="22" t="str">
        <f>Table_4.0_Information!$A$5</f>
        <v>Kentucky</v>
      </c>
      <c r="S24" s="22" t="s">
        <v>337</v>
      </c>
      <c r="T24" s="22" t="str">
        <f>Table_4.0_Information!$A$6</f>
        <v>New Mexico</v>
      </c>
      <c r="U24" s="22" t="s">
        <v>445</v>
      </c>
      <c r="V24" s="22" t="str">
        <f>Table_4.0_Information!$A$8</f>
        <v>5 add state in table 0</v>
      </c>
      <c r="W24" s="22" t="str">
        <f>Table_4.0_Information!$A$9</f>
        <v>6 add state in table 0</v>
      </c>
      <c r="X24" s="22" t="str">
        <f>Table_4.0_Information!$A$10</f>
        <v>7 add state in table 0</v>
      </c>
      <c r="Y24" s="22" t="str">
        <f>Table_4.0_Information!$A$11</f>
        <v>8 add state in table 0</v>
      </c>
      <c r="Z24" s="22" t="str">
        <f>Table_4.0_Information!$A$12</f>
        <v>9 add state in table 0</v>
      </c>
      <c r="AA24" s="22" t="str">
        <f>Table_4.0_Information!$A$13</f>
        <v>10 add state in table 0</v>
      </c>
      <c r="AB24" s="22" t="str">
        <f>Table_4.0_Information!$A$14</f>
        <v>11 add state in table 0</v>
      </c>
      <c r="AC24" s="22" t="str">
        <f>Table_4.0_Information!$A$15</f>
        <v>12 add state in table 0</v>
      </c>
    </row>
    <row r="25" spans="1:29" ht="17" thickTop="1">
      <c r="A25" s="31" t="s">
        <v>19</v>
      </c>
      <c r="B25" s="67">
        <v>23</v>
      </c>
      <c r="C25" s="67">
        <v>95</v>
      </c>
      <c r="D25" s="208">
        <v>160</v>
      </c>
      <c r="E25" s="67">
        <v>23</v>
      </c>
      <c r="F25" s="67">
        <v>79</v>
      </c>
      <c r="G25" s="26"/>
      <c r="H25" s="26"/>
      <c r="I25" s="26"/>
      <c r="J25" s="26"/>
      <c r="K25" s="26"/>
      <c r="L25" s="26"/>
      <c r="M25" s="26"/>
      <c r="N25" s="26"/>
      <c r="P25" s="20" t="s">
        <v>139</v>
      </c>
      <c r="Q25" s="39">
        <f>B10/B$9</f>
        <v>1.4598540145985401E-3</v>
      </c>
      <c r="R25" s="39">
        <f>C10/C$9</f>
        <v>6.7895247332686714E-3</v>
      </c>
      <c r="S25" s="39">
        <f>D10/D$9</f>
        <v>4.3554006968641113E-3</v>
      </c>
      <c r="T25" s="39">
        <f t="shared" ref="T25:AC25" si="26">E10/E$9</f>
        <v>0</v>
      </c>
      <c r="U25" s="39">
        <f t="shared" si="26"/>
        <v>1.2547051442910916E-2</v>
      </c>
      <c r="V25" s="39" t="e">
        <f t="shared" si="26"/>
        <v>#DIV/0!</v>
      </c>
      <c r="W25" s="39" t="e">
        <f t="shared" si="26"/>
        <v>#DIV/0!</v>
      </c>
      <c r="X25" s="39" t="e">
        <f t="shared" si="26"/>
        <v>#DIV/0!</v>
      </c>
      <c r="Y25" s="39" t="e">
        <f t="shared" si="26"/>
        <v>#DIV/0!</v>
      </c>
      <c r="Z25" s="39" t="e">
        <f t="shared" si="26"/>
        <v>#DIV/0!</v>
      </c>
      <c r="AA25" s="39" t="e">
        <f t="shared" si="26"/>
        <v>#DIV/0!</v>
      </c>
      <c r="AB25" s="39" t="e">
        <f t="shared" si="26"/>
        <v>#DIV/0!</v>
      </c>
      <c r="AC25" s="39" t="e">
        <f t="shared" si="26"/>
        <v>#DIV/0!</v>
      </c>
    </row>
    <row r="26" spans="1:29" ht="16">
      <c r="A26" s="31" t="s">
        <v>20</v>
      </c>
      <c r="B26" s="67">
        <v>26</v>
      </c>
      <c r="C26" s="67">
        <v>110</v>
      </c>
      <c r="D26" s="208">
        <v>43</v>
      </c>
      <c r="E26" s="67">
        <v>13</v>
      </c>
      <c r="F26" s="67">
        <v>57</v>
      </c>
      <c r="G26" s="26"/>
      <c r="H26" s="26"/>
      <c r="I26" s="26"/>
      <c r="J26" s="26"/>
      <c r="K26" s="26"/>
      <c r="L26" s="26"/>
      <c r="M26" s="26"/>
      <c r="N26" s="26"/>
      <c r="P26" s="20" t="s">
        <v>140</v>
      </c>
      <c r="Q26" s="39">
        <f t="shared" ref="Q26:Q32" si="27">B11/B$9</f>
        <v>0.43065693430656932</v>
      </c>
      <c r="R26" s="39">
        <f t="shared" ref="R26:S32" si="28">C11/C$9</f>
        <v>0.52085354025218233</v>
      </c>
      <c r="S26" s="39">
        <f t="shared" si="28"/>
        <v>0.45034843205574915</v>
      </c>
      <c r="T26" s="39">
        <f t="shared" ref="T26:T32" si="29">E11/E$9</f>
        <v>0.39297124600638977</v>
      </c>
      <c r="U26" s="39">
        <f t="shared" ref="U26:U32" si="30">F11/F$9</f>
        <v>0.43663739021329989</v>
      </c>
      <c r="V26" s="39" t="e">
        <f t="shared" ref="V26:V32" si="31">G11/G$9</f>
        <v>#DIV/0!</v>
      </c>
      <c r="W26" s="39" t="e">
        <f t="shared" ref="W26:W32" si="32">H11/H$9</f>
        <v>#DIV/0!</v>
      </c>
      <c r="X26" s="39" t="e">
        <f t="shared" ref="X26:X32" si="33">I11/I$9</f>
        <v>#DIV/0!</v>
      </c>
      <c r="Y26" s="39" t="e">
        <f t="shared" ref="Y26:Y32" si="34">J11/J$9</f>
        <v>#DIV/0!</v>
      </c>
      <c r="Z26" s="39" t="e">
        <f t="shared" ref="Z26:Z32" si="35">K11/K$9</f>
        <v>#DIV/0!</v>
      </c>
      <c r="AA26" s="39" t="e">
        <f t="shared" ref="AA26:AA32" si="36">L11/L$9</f>
        <v>#DIV/0!</v>
      </c>
      <c r="AB26" s="39" t="e">
        <f t="shared" ref="AB26:AB32" si="37">M11/M$9</f>
        <v>#DIV/0!</v>
      </c>
      <c r="AC26" s="39" t="e">
        <f t="shared" ref="AC26:AC32" si="38">N11/N$9</f>
        <v>#DIV/0!</v>
      </c>
    </row>
    <row r="27" spans="1:29" ht="16">
      <c r="A27" s="31" t="s">
        <v>78</v>
      </c>
      <c r="B27" s="67">
        <v>1</v>
      </c>
      <c r="C27" s="67">
        <v>0</v>
      </c>
      <c r="D27" s="208">
        <v>1</v>
      </c>
      <c r="E27" s="67">
        <v>0</v>
      </c>
      <c r="F27" s="67">
        <v>0</v>
      </c>
      <c r="G27" s="24"/>
      <c r="H27" s="24"/>
      <c r="I27" s="24"/>
      <c r="J27" s="24"/>
      <c r="K27" s="24"/>
      <c r="L27" s="24"/>
      <c r="M27" s="24"/>
      <c r="N27" s="24"/>
      <c r="P27" s="20" t="s">
        <v>141</v>
      </c>
      <c r="Q27" s="39">
        <f t="shared" si="27"/>
        <v>2.1897810218978103E-2</v>
      </c>
      <c r="R27" s="39">
        <f t="shared" si="28"/>
        <v>1.842870999030068E-2</v>
      </c>
      <c r="S27" s="39">
        <f t="shared" si="28"/>
        <v>4.5296167247386762E-2</v>
      </c>
      <c r="T27" s="39">
        <f t="shared" si="29"/>
        <v>3.8338658146964855E-2</v>
      </c>
      <c r="U27" s="39">
        <f t="shared" si="30"/>
        <v>2.6348808030112924E-2</v>
      </c>
      <c r="V27" s="39" t="e">
        <f t="shared" si="31"/>
        <v>#DIV/0!</v>
      </c>
      <c r="W27" s="39" t="e">
        <f t="shared" si="32"/>
        <v>#DIV/0!</v>
      </c>
      <c r="X27" s="39" t="e">
        <f t="shared" si="33"/>
        <v>#DIV/0!</v>
      </c>
      <c r="Y27" s="39" t="e">
        <f t="shared" si="34"/>
        <v>#DIV/0!</v>
      </c>
      <c r="Z27" s="39" t="e">
        <f t="shared" si="35"/>
        <v>#DIV/0!</v>
      </c>
      <c r="AA27" s="39" t="e">
        <f t="shared" si="36"/>
        <v>#DIV/0!</v>
      </c>
      <c r="AB27" s="39" t="e">
        <f t="shared" si="37"/>
        <v>#DIV/0!</v>
      </c>
      <c r="AC27" s="39" t="e">
        <f t="shared" si="38"/>
        <v>#DIV/0!</v>
      </c>
    </row>
    <row r="28" spans="1:29" ht="16">
      <c r="A28" s="31" t="s">
        <v>21</v>
      </c>
      <c r="B28" s="67">
        <v>475</v>
      </c>
      <c r="C28" s="67">
        <v>1094</v>
      </c>
      <c r="D28" s="208">
        <v>614</v>
      </c>
      <c r="E28" s="67">
        <v>253</v>
      </c>
      <c r="F28" s="67">
        <v>1078</v>
      </c>
      <c r="G28" s="26"/>
      <c r="H28" s="26"/>
      <c r="I28" s="26"/>
      <c r="J28" s="26"/>
      <c r="K28" s="26"/>
      <c r="L28" s="26"/>
      <c r="M28" s="26"/>
      <c r="N28" s="26"/>
      <c r="P28" s="20" t="s">
        <v>142</v>
      </c>
      <c r="Q28" s="39">
        <f t="shared" si="27"/>
        <v>0.41459854014598541</v>
      </c>
      <c r="R28" s="39">
        <f t="shared" si="28"/>
        <v>0.33559650824442289</v>
      </c>
      <c r="S28" s="39">
        <f t="shared" si="28"/>
        <v>0.39982578397212543</v>
      </c>
      <c r="T28" s="39">
        <f t="shared" si="29"/>
        <v>0.45686900958466453</v>
      </c>
      <c r="U28" s="39">
        <f t="shared" si="30"/>
        <v>0.39648682559598497</v>
      </c>
      <c r="V28" s="39" t="e">
        <f t="shared" si="31"/>
        <v>#DIV/0!</v>
      </c>
      <c r="W28" s="39" t="e">
        <f t="shared" si="32"/>
        <v>#DIV/0!</v>
      </c>
      <c r="X28" s="39" t="e">
        <f t="shared" si="33"/>
        <v>#DIV/0!</v>
      </c>
      <c r="Y28" s="39" t="e">
        <f t="shared" si="34"/>
        <v>#DIV/0!</v>
      </c>
      <c r="Z28" s="39" t="e">
        <f t="shared" si="35"/>
        <v>#DIV/0!</v>
      </c>
      <c r="AA28" s="39" t="e">
        <f t="shared" si="36"/>
        <v>#DIV/0!</v>
      </c>
      <c r="AB28" s="39" t="e">
        <f t="shared" si="37"/>
        <v>#DIV/0!</v>
      </c>
      <c r="AC28" s="39" t="e">
        <f t="shared" si="38"/>
        <v>#DIV/0!</v>
      </c>
    </row>
    <row r="29" spans="1:29" ht="16">
      <c r="A29" s="31" t="s">
        <v>22</v>
      </c>
      <c r="B29" s="67">
        <v>7575</v>
      </c>
      <c r="C29" s="67">
        <v>32659</v>
      </c>
      <c r="D29" s="208">
        <v>8446</v>
      </c>
      <c r="E29" s="67">
        <v>3841</v>
      </c>
      <c r="F29" s="67">
        <v>15208</v>
      </c>
      <c r="G29" s="26"/>
      <c r="H29" s="26"/>
      <c r="I29" s="26"/>
      <c r="J29" s="26"/>
      <c r="K29" s="26"/>
      <c r="L29" s="26"/>
      <c r="M29" s="26"/>
      <c r="N29" s="26"/>
      <c r="P29" s="20" t="s">
        <v>143</v>
      </c>
      <c r="Q29" s="39">
        <f t="shared" si="27"/>
        <v>0.10364963503649635</v>
      </c>
      <c r="R29" s="39">
        <f t="shared" si="28"/>
        <v>0.1037827352085354</v>
      </c>
      <c r="S29" s="39">
        <f t="shared" si="28"/>
        <v>7.0557491289198609E-2</v>
      </c>
      <c r="T29" s="39">
        <f t="shared" si="29"/>
        <v>9.2651757188498399E-2</v>
      </c>
      <c r="U29" s="39">
        <f t="shared" si="30"/>
        <v>0.11166875784190715</v>
      </c>
      <c r="V29" s="39" t="e">
        <f t="shared" si="31"/>
        <v>#DIV/0!</v>
      </c>
      <c r="W29" s="39" t="e">
        <f t="shared" si="32"/>
        <v>#DIV/0!</v>
      </c>
      <c r="X29" s="39" t="e">
        <f t="shared" si="33"/>
        <v>#DIV/0!</v>
      </c>
      <c r="Y29" s="39" t="e">
        <f t="shared" si="34"/>
        <v>#DIV/0!</v>
      </c>
      <c r="Z29" s="39" t="e">
        <f t="shared" si="35"/>
        <v>#DIV/0!</v>
      </c>
      <c r="AA29" s="39" t="e">
        <f t="shared" si="36"/>
        <v>#DIV/0!</v>
      </c>
      <c r="AB29" s="39" t="e">
        <f t="shared" si="37"/>
        <v>#DIV/0!</v>
      </c>
      <c r="AC29" s="39" t="e">
        <f t="shared" si="38"/>
        <v>#DIV/0!</v>
      </c>
    </row>
    <row r="30" spans="1:29" ht="16">
      <c r="A30" s="31" t="s">
        <v>79</v>
      </c>
      <c r="B30" s="67">
        <v>49</v>
      </c>
      <c r="C30" s="67">
        <v>179</v>
      </c>
      <c r="D30" s="208">
        <v>126</v>
      </c>
      <c r="E30" s="67">
        <v>33</v>
      </c>
      <c r="F30" s="67">
        <v>161</v>
      </c>
      <c r="G30" s="26"/>
      <c r="H30" s="26"/>
      <c r="I30" s="26"/>
      <c r="J30" s="26"/>
      <c r="K30" s="26"/>
      <c r="L30" s="26"/>
      <c r="M30" s="26"/>
      <c r="N30" s="26"/>
      <c r="P30" s="20" t="s">
        <v>144</v>
      </c>
      <c r="Q30" s="39">
        <f t="shared" si="27"/>
        <v>4.3795620437956208E-3</v>
      </c>
      <c r="R30" s="39">
        <f t="shared" si="28"/>
        <v>4.849660523763337E-3</v>
      </c>
      <c r="S30" s="39">
        <f t="shared" si="28"/>
        <v>8.710801393728223E-4</v>
      </c>
      <c r="T30" s="39">
        <f t="shared" si="29"/>
        <v>6.3897763578274758E-3</v>
      </c>
      <c r="U30" s="39">
        <f t="shared" si="30"/>
        <v>0</v>
      </c>
      <c r="V30" s="39" t="e">
        <f t="shared" si="31"/>
        <v>#DIV/0!</v>
      </c>
      <c r="W30" s="39" t="e">
        <f t="shared" si="32"/>
        <v>#DIV/0!</v>
      </c>
      <c r="X30" s="39" t="e">
        <f t="shared" si="33"/>
        <v>#DIV/0!</v>
      </c>
      <c r="Y30" s="39" t="e">
        <f t="shared" si="34"/>
        <v>#DIV/0!</v>
      </c>
      <c r="Z30" s="39" t="e">
        <f t="shared" si="35"/>
        <v>#DIV/0!</v>
      </c>
      <c r="AA30" s="39" t="e">
        <f t="shared" si="36"/>
        <v>#DIV/0!</v>
      </c>
      <c r="AB30" s="39" t="e">
        <f t="shared" si="37"/>
        <v>#DIV/0!</v>
      </c>
      <c r="AC30" s="39" t="e">
        <f t="shared" si="38"/>
        <v>#DIV/0!</v>
      </c>
    </row>
    <row r="31" spans="1:29" ht="16">
      <c r="A31" s="45" t="s">
        <v>133</v>
      </c>
      <c r="B31">
        <f>SUM(B5:B9:B18:B30)</f>
        <v>9760</v>
      </c>
      <c r="C31" s="20">
        <f>SUM(C5:C9:C18:C30)</f>
        <v>37343</v>
      </c>
      <c r="D31" s="205">
        <f>SUM(D5:D30)</f>
        <v>12715</v>
      </c>
      <c r="E31" s="20">
        <f>SUM(E5:E9:E18:E30)</f>
        <v>5001</v>
      </c>
      <c r="F31" s="20">
        <f>SUM(F5:F9:F18:F30)</f>
        <v>18944</v>
      </c>
      <c r="G31" s="20">
        <f>SUM(G5:G9:G18:G30)</f>
        <v>0</v>
      </c>
      <c r="H31" s="20">
        <f>SUM(H5:H9:H18:H30)</f>
        <v>0</v>
      </c>
      <c r="I31" s="20">
        <f>SUM(I5:I9:I18:I30)</f>
        <v>0</v>
      </c>
      <c r="J31" s="20">
        <f>SUM(J5:J9:J18:J30)</f>
        <v>0</v>
      </c>
      <c r="K31" s="20">
        <f>SUM(K5:K9:K18:K30)</f>
        <v>0</v>
      </c>
      <c r="L31" s="20">
        <f>SUM(L5:L9:L18:L30)</f>
        <v>0</v>
      </c>
      <c r="M31" s="20">
        <f>SUM(M5:M9:M18:M30)</f>
        <v>0</v>
      </c>
      <c r="N31" s="20">
        <f>SUM(N5:N9:N18:N30)</f>
        <v>0</v>
      </c>
      <c r="P31" s="20" t="s">
        <v>145</v>
      </c>
      <c r="Q31" s="39">
        <f t="shared" si="27"/>
        <v>8.7591240875912416E-3</v>
      </c>
      <c r="R31" s="39" t="e">
        <f t="shared" si="28"/>
        <v>#VALUE!</v>
      </c>
      <c r="S31" s="39">
        <f t="shared" si="28"/>
        <v>4.3554006968641113E-3</v>
      </c>
      <c r="T31" s="39">
        <f t="shared" si="29"/>
        <v>6.3897763578274758E-3</v>
      </c>
      <c r="U31" s="39">
        <f t="shared" si="30"/>
        <v>2.509410288582183E-3</v>
      </c>
      <c r="V31" s="39" t="e">
        <f t="shared" si="31"/>
        <v>#DIV/0!</v>
      </c>
      <c r="W31" s="39" t="e">
        <f t="shared" si="32"/>
        <v>#DIV/0!</v>
      </c>
      <c r="X31" s="39" t="e">
        <f t="shared" si="33"/>
        <v>#DIV/0!</v>
      </c>
      <c r="Y31" s="39" t="e">
        <f t="shared" si="34"/>
        <v>#DIV/0!</v>
      </c>
      <c r="Z31" s="39" t="e">
        <f t="shared" si="35"/>
        <v>#DIV/0!</v>
      </c>
      <c r="AA31" s="39" t="e">
        <f t="shared" si="36"/>
        <v>#DIV/0!</v>
      </c>
      <c r="AB31" s="39" t="e">
        <f t="shared" si="37"/>
        <v>#DIV/0!</v>
      </c>
      <c r="AC31" s="39" t="e">
        <f t="shared" si="38"/>
        <v>#DIV/0!</v>
      </c>
    </row>
    <row r="32" spans="1:29" s="20" customFormat="1">
      <c r="P32" s="20" t="s">
        <v>146</v>
      </c>
      <c r="Q32" s="39">
        <f t="shared" si="27"/>
        <v>1.167883211678832E-2</v>
      </c>
      <c r="R32" s="39">
        <f t="shared" si="28"/>
        <v>6.7895247332686714E-3</v>
      </c>
      <c r="S32" s="39">
        <f t="shared" si="28"/>
        <v>1.7421602787456445E-2</v>
      </c>
      <c r="T32" s="39">
        <f t="shared" si="29"/>
        <v>6.3897763578274758E-3</v>
      </c>
      <c r="U32" s="39">
        <f t="shared" si="30"/>
        <v>8.7829360100376407E-3</v>
      </c>
      <c r="V32" s="39" t="e">
        <f t="shared" si="31"/>
        <v>#DIV/0!</v>
      </c>
      <c r="W32" s="39" t="e">
        <f t="shared" si="32"/>
        <v>#DIV/0!</v>
      </c>
      <c r="X32" s="39" t="e">
        <f t="shared" si="33"/>
        <v>#DIV/0!</v>
      </c>
      <c r="Y32" s="39" t="e">
        <f t="shared" si="34"/>
        <v>#DIV/0!</v>
      </c>
      <c r="Z32" s="39" t="e">
        <f t="shared" si="35"/>
        <v>#DIV/0!</v>
      </c>
      <c r="AA32" s="39" t="e">
        <f t="shared" si="36"/>
        <v>#DIV/0!</v>
      </c>
      <c r="AB32" s="39" t="e">
        <f t="shared" si="37"/>
        <v>#DIV/0!</v>
      </c>
      <c r="AC32" s="39" t="e">
        <f t="shared" si="38"/>
        <v>#DIV/0!</v>
      </c>
    </row>
    <row r="33" spans="17:29">
      <c r="Q33" s="20" t="s">
        <v>148</v>
      </c>
      <c r="R33" s="20"/>
      <c r="T33" s="20"/>
      <c r="U33" s="20"/>
      <c r="V33" s="20"/>
      <c r="W33" s="20"/>
      <c r="X33" s="20"/>
      <c r="Y33" s="20"/>
      <c r="Z33" s="20"/>
      <c r="AA33" s="20"/>
      <c r="AB33" s="20"/>
      <c r="AC33" s="20"/>
    </row>
    <row r="34" spans="17:29">
      <c r="Q34" s="20"/>
      <c r="R34" s="20"/>
      <c r="T34" s="20"/>
      <c r="U34" s="20"/>
      <c r="V34" s="20"/>
      <c r="W34" s="20"/>
      <c r="X34" s="20"/>
      <c r="Y34" s="20"/>
      <c r="Z34" s="20"/>
      <c r="AA34" s="20"/>
      <c r="AB34" s="20"/>
      <c r="AC34" s="20"/>
    </row>
    <row r="35" spans="17:29">
      <c r="Q35" s="20"/>
      <c r="R35" s="20"/>
      <c r="T35" s="20"/>
      <c r="U35" s="20"/>
      <c r="V35" s="20"/>
      <c r="W35" s="20"/>
      <c r="X35" s="20"/>
      <c r="Y35" s="20"/>
      <c r="Z35" s="20"/>
      <c r="AA35" s="20"/>
      <c r="AB35" s="20"/>
      <c r="AC35" s="20"/>
    </row>
  </sheetData>
  <conditionalFormatting sqref="Q5:AC22">
    <cfRule type="dataBar" priority="2">
      <dataBar>
        <cfvo type="min"/>
        <cfvo type="max"/>
        <color rgb="FF638EC6"/>
      </dataBar>
      <extLst>
        <ext xmlns:x14="http://schemas.microsoft.com/office/spreadsheetml/2009/9/main" uri="{B025F937-C7B1-47D3-B67F-A62EFF666E3E}">
          <x14:id>{977C080B-753A-4F3C-A27E-77320173D37F}</x14:id>
        </ext>
      </extLst>
    </cfRule>
  </conditionalFormatting>
  <conditionalFormatting sqref="Q25:AC32">
    <cfRule type="dataBar" priority="1">
      <dataBar>
        <cfvo type="min"/>
        <cfvo type="max"/>
        <color rgb="FF638EC6"/>
      </dataBar>
      <extLst>
        <ext xmlns:x14="http://schemas.microsoft.com/office/spreadsheetml/2009/9/main" uri="{B025F937-C7B1-47D3-B67F-A62EFF666E3E}">
          <x14:id>{E960318A-9AE0-47B3-B3AE-3BA506FAD303}</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977C080B-753A-4F3C-A27E-77320173D37F}">
            <x14:dataBar minLength="0" maxLength="100" gradient="0">
              <x14:cfvo type="autoMin"/>
              <x14:cfvo type="autoMax"/>
              <x14:negativeFillColor rgb="FFFF0000"/>
              <x14:axisColor rgb="FF000000"/>
            </x14:dataBar>
          </x14:cfRule>
          <xm:sqref>Q5:AC22</xm:sqref>
        </x14:conditionalFormatting>
        <x14:conditionalFormatting xmlns:xm="http://schemas.microsoft.com/office/excel/2006/main">
          <x14:cfRule type="dataBar" id="{E960318A-9AE0-47B3-B3AE-3BA506FAD303}">
            <x14:dataBar minLength="0" maxLength="100" gradient="0">
              <x14:cfvo type="autoMin"/>
              <x14:cfvo type="autoMax"/>
              <x14:negativeFillColor rgb="FFFF0000"/>
              <x14:axisColor rgb="FF000000"/>
            </x14:dataBar>
          </x14:cfRule>
          <xm:sqref>Q25:AC32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6"/>
  <sheetViews>
    <sheetView topLeftCell="D1" zoomScale="70" zoomScaleNormal="70" workbookViewId="0">
      <selection activeCell="P28" sqref="P28"/>
    </sheetView>
  </sheetViews>
  <sheetFormatPr baseColWidth="10" defaultColWidth="8.6640625" defaultRowHeight="15"/>
  <cols>
    <col min="2" max="2" width="35.1640625" customWidth="1"/>
    <col min="3" max="3" width="13" customWidth="1"/>
    <col min="4" max="4" width="13" style="20" customWidth="1"/>
    <col min="5" max="5" width="13.33203125" customWidth="1"/>
    <col min="6" max="6" width="15.5" customWidth="1"/>
  </cols>
  <sheetData>
    <row r="1" spans="1:14">
      <c r="A1" s="47" t="s">
        <v>82</v>
      </c>
      <c r="C1" s="50" t="s">
        <v>151</v>
      </c>
      <c r="D1" s="50"/>
    </row>
    <row r="2" spans="1:14" s="20" customFormat="1" ht="85" thickBot="1">
      <c r="B2" s="22" t="str">
        <f>Table_4.0_Information!$A$4</f>
        <v>Colorado</v>
      </c>
      <c r="C2" s="22" t="str">
        <f>Table_4.0_Information!$A$5</f>
        <v>Kentucky</v>
      </c>
      <c r="D2" s="22" t="s">
        <v>337</v>
      </c>
      <c r="E2" s="22" t="str">
        <f>Table_4.0_Information!$A$6</f>
        <v>New Mexico</v>
      </c>
      <c r="F2" s="22" t="s">
        <v>338</v>
      </c>
      <c r="G2" s="22" t="str">
        <f>Table_4.0_Information!$A$8</f>
        <v>5 add state in table 0</v>
      </c>
      <c r="H2" s="22" t="str">
        <f>Table_4.0_Information!$A$9</f>
        <v>6 add state in table 0</v>
      </c>
      <c r="I2" s="22" t="str">
        <f>Table_4.0_Information!$A$10</f>
        <v>7 add state in table 0</v>
      </c>
      <c r="J2" s="22" t="str">
        <f>Table_4.0_Information!$A$11</f>
        <v>8 add state in table 0</v>
      </c>
      <c r="K2" s="22" t="str">
        <f>Table_4.0_Information!$A$12</f>
        <v>9 add state in table 0</v>
      </c>
      <c r="L2" s="22" t="str">
        <f>Table_4.0_Information!$A$13</f>
        <v>10 add state in table 0</v>
      </c>
      <c r="M2" s="22" t="str">
        <f>Table_4.0_Information!$A$14</f>
        <v>11 add state in table 0</v>
      </c>
      <c r="N2" s="22" t="str">
        <f>Table_4.0_Information!$A$15</f>
        <v>12 add state in table 0</v>
      </c>
    </row>
    <row r="3" spans="1:14" ht="18" thickTop="1">
      <c r="A3" s="36" t="s">
        <v>83</v>
      </c>
      <c r="B3" s="67">
        <v>3</v>
      </c>
      <c r="C3" s="67">
        <v>70</v>
      </c>
      <c r="D3" s="67">
        <v>62</v>
      </c>
      <c r="E3" s="75">
        <v>24</v>
      </c>
      <c r="F3" s="26">
        <v>18</v>
      </c>
      <c r="G3" s="26"/>
      <c r="H3" s="26"/>
      <c r="I3" s="26"/>
      <c r="J3" s="26"/>
      <c r="K3" s="26"/>
      <c r="L3" s="26"/>
      <c r="M3" s="26"/>
      <c r="N3" s="26"/>
    </row>
    <row r="4" spans="1:14" ht="34">
      <c r="A4" s="36" t="s">
        <v>84</v>
      </c>
      <c r="B4" s="67">
        <v>7331</v>
      </c>
      <c r="C4" s="67">
        <v>31889</v>
      </c>
      <c r="D4" s="67">
        <v>8112</v>
      </c>
      <c r="E4" s="76">
        <v>3715</v>
      </c>
      <c r="F4" s="201">
        <v>14704</v>
      </c>
      <c r="G4" s="26"/>
      <c r="H4" s="26"/>
      <c r="I4" s="26"/>
      <c r="J4" s="26"/>
      <c r="K4" s="26"/>
      <c r="L4" s="26"/>
      <c r="M4" s="34"/>
      <c r="N4" s="34"/>
    </row>
    <row r="5" spans="1:14" s="33" customFormat="1">
      <c r="A5" s="33" t="s">
        <v>80</v>
      </c>
      <c r="B5" s="38">
        <f>SUM(B3:B4)</f>
        <v>7334</v>
      </c>
      <c r="C5" s="38">
        <f>SUM(C3:C4)</f>
        <v>31959</v>
      </c>
      <c r="D5" s="206">
        <f>SUM(D3:D4)</f>
        <v>8174</v>
      </c>
      <c r="E5" s="77">
        <f t="shared" ref="E5:L5" si="0">SUM(E3:E4)</f>
        <v>3739</v>
      </c>
      <c r="F5" s="38">
        <f t="shared" si="0"/>
        <v>14722</v>
      </c>
      <c r="G5" s="38">
        <f t="shared" si="0"/>
        <v>0</v>
      </c>
      <c r="H5" s="38">
        <f t="shared" si="0"/>
        <v>0</v>
      </c>
      <c r="I5" s="38">
        <f t="shared" si="0"/>
        <v>0</v>
      </c>
      <c r="J5" s="38">
        <f t="shared" si="0"/>
        <v>0</v>
      </c>
      <c r="K5" s="38">
        <f t="shared" si="0"/>
        <v>0</v>
      </c>
      <c r="L5" s="38">
        <f t="shared" si="0"/>
        <v>0</v>
      </c>
      <c r="M5" s="51"/>
      <c r="N5" s="51"/>
    </row>
    <row r="6" spans="1:14">
      <c r="A6" t="s">
        <v>496</v>
      </c>
      <c r="B6" s="222">
        <f>B3/B5</f>
        <v>4.0905372238887375E-4</v>
      </c>
      <c r="C6" s="222">
        <f t="shared" ref="C6:F6" si="1">C3/C5</f>
        <v>2.1903063299852938E-3</v>
      </c>
      <c r="D6" s="222">
        <f t="shared" si="1"/>
        <v>7.585025691216051E-3</v>
      </c>
      <c r="E6" s="222">
        <f t="shared" si="1"/>
        <v>6.4188285637871087E-3</v>
      </c>
      <c r="F6" s="222">
        <f t="shared" si="1"/>
        <v>1.2226599646787122E-3</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1"/>
  <sheetViews>
    <sheetView workbookViewId="0">
      <selection activeCell="D8" sqref="D8"/>
    </sheetView>
  </sheetViews>
  <sheetFormatPr baseColWidth="10" defaultColWidth="8.6640625" defaultRowHeight="15"/>
  <cols>
    <col min="1" max="1" width="23.33203125" customWidth="1"/>
    <col min="2" max="3" width="12.33203125" bestFit="1" customWidth="1"/>
    <col min="4" max="4" width="12.33203125" style="20" customWidth="1"/>
    <col min="5" max="5" width="12.33203125" bestFit="1" customWidth="1"/>
    <col min="6" max="6" width="16.1640625" bestFit="1" customWidth="1"/>
    <col min="19" max="19" width="8.6640625" style="20"/>
  </cols>
  <sheetData>
    <row r="1" spans="1:29">
      <c r="A1" s="48" t="s">
        <v>149</v>
      </c>
    </row>
    <row r="2" spans="1:29" s="20" customFormat="1">
      <c r="A2" s="7"/>
    </row>
    <row r="3" spans="1:29" ht="40.25" customHeight="1" thickBot="1">
      <c r="B3" s="22" t="str">
        <f>Table_4.0_Information!$A$4</f>
        <v>Colorado</v>
      </c>
      <c r="C3" s="22" t="str">
        <f>Table_4.0_Information!$A$5</f>
        <v>Kentucky</v>
      </c>
      <c r="D3" s="22" t="s">
        <v>337</v>
      </c>
      <c r="E3" s="22" t="str">
        <f>Table_4.0_Information!$A$6</f>
        <v>New Mexico</v>
      </c>
      <c r="F3" s="22" t="s">
        <v>338</v>
      </c>
      <c r="G3" s="22" t="str">
        <f>Table_4.0_Information!$A$8</f>
        <v>5 add state in table 0</v>
      </c>
      <c r="H3" s="22" t="str">
        <f>Table_4.0_Information!$A$9</f>
        <v>6 add state in table 0</v>
      </c>
      <c r="I3" s="22" t="str">
        <f>Table_4.0_Information!$A$10</f>
        <v>7 add state in table 0</v>
      </c>
      <c r="J3" s="22" t="str">
        <f>Table_4.0_Information!$A$11</f>
        <v>8 add state in table 0</v>
      </c>
      <c r="K3" s="22" t="str">
        <f>Table_4.0_Information!$A$12</f>
        <v>9 add state in table 0</v>
      </c>
      <c r="L3" s="22" t="str">
        <f>Table_4.0_Information!$A$13</f>
        <v>10 add state in table 0</v>
      </c>
      <c r="M3" s="22" t="str">
        <f>Table_4.0_Information!$A$14</f>
        <v>11 add state in table 0</v>
      </c>
      <c r="N3" s="22" t="str">
        <f>Table_4.0_Information!$A$15</f>
        <v>12 add state in table 0</v>
      </c>
      <c r="O3" s="20"/>
      <c r="P3" s="18"/>
      <c r="Q3" s="22" t="str">
        <f>Table_4.0_Information!$A$4</f>
        <v>Colorado</v>
      </c>
      <c r="R3" s="22" t="str">
        <f>Table_4.0_Information!$A$5</f>
        <v>Kentucky</v>
      </c>
      <c r="S3" s="22" t="s">
        <v>337</v>
      </c>
      <c r="T3" s="22" t="str">
        <f>Table_4.0_Information!$A$6</f>
        <v>New Mexico</v>
      </c>
      <c r="U3" s="22" t="s">
        <v>338</v>
      </c>
      <c r="V3" s="22" t="str">
        <f>Table_4.0_Information!$A$8</f>
        <v>5 add state in table 0</v>
      </c>
      <c r="W3" s="22" t="str">
        <f>Table_4.0_Information!$A$9</f>
        <v>6 add state in table 0</v>
      </c>
      <c r="X3" s="22" t="str">
        <f>Table_4.0_Information!$A$10</f>
        <v>7 add state in table 0</v>
      </c>
      <c r="Y3" s="22" t="str">
        <f>Table_4.0_Information!$A$11</f>
        <v>8 add state in table 0</v>
      </c>
      <c r="Z3" s="22" t="str">
        <f>Table_4.0_Information!$A$12</f>
        <v>9 add state in table 0</v>
      </c>
      <c r="AA3" s="22" t="str">
        <f>Table_4.0_Information!$A$13</f>
        <v>10 add state in table 0</v>
      </c>
      <c r="AB3" s="22" t="str">
        <f>Table_4.0_Information!$A$14</f>
        <v>11 add state in table 0</v>
      </c>
      <c r="AC3" s="22" t="str">
        <f>Table_4.0_Information!$A$15</f>
        <v>12 add state in table 0</v>
      </c>
    </row>
    <row r="4" spans="1:29" ht="16" thickTop="1">
      <c r="A4" t="s">
        <v>65</v>
      </c>
      <c r="B4" s="68">
        <v>19265</v>
      </c>
      <c r="C4" s="67">
        <v>69647</v>
      </c>
      <c r="D4" s="67">
        <v>8165</v>
      </c>
      <c r="E4" s="68">
        <v>10449</v>
      </c>
      <c r="F4" s="68">
        <v>37021</v>
      </c>
      <c r="G4" s="24"/>
      <c r="H4" s="26"/>
      <c r="I4" s="24"/>
      <c r="J4" s="26"/>
      <c r="K4" s="26"/>
      <c r="L4" s="26"/>
      <c r="M4" s="26"/>
      <c r="N4" s="26"/>
      <c r="O4" s="20"/>
      <c r="P4" s="20" t="s">
        <v>65</v>
      </c>
      <c r="Q4" s="39">
        <f>B4/B$8</f>
        <v>0.9932460301093009</v>
      </c>
      <c r="R4" s="39">
        <f>C4/C$8</f>
        <v>0.9955402450006432</v>
      </c>
      <c r="S4" s="39">
        <f>D4/D$8</f>
        <v>0.99804424886933141</v>
      </c>
      <c r="T4" s="39">
        <f t="shared" ref="T4:AC4" si="0">E4/E$8</f>
        <v>0.79249146757679179</v>
      </c>
      <c r="U4" s="39">
        <f t="shared" si="0"/>
        <v>0.9953487121578749</v>
      </c>
      <c r="V4" s="39" t="e">
        <f t="shared" si="0"/>
        <v>#DIV/0!</v>
      </c>
      <c r="W4" s="39" t="e">
        <f t="shared" si="0"/>
        <v>#DIV/0!</v>
      </c>
      <c r="X4" s="39" t="e">
        <f t="shared" si="0"/>
        <v>#DIV/0!</v>
      </c>
      <c r="Y4" s="39" t="e">
        <f t="shared" si="0"/>
        <v>#DIV/0!</v>
      </c>
      <c r="Z4" s="39" t="e">
        <f t="shared" si="0"/>
        <v>#DIV/0!</v>
      </c>
      <c r="AA4" s="39" t="e">
        <f t="shared" si="0"/>
        <v>#DIV/0!</v>
      </c>
      <c r="AB4" s="39" t="e">
        <f t="shared" si="0"/>
        <v>#DIV/0!</v>
      </c>
      <c r="AC4" s="39" t="e">
        <f t="shared" si="0"/>
        <v>#DIV/0!</v>
      </c>
    </row>
    <row r="5" spans="1:29">
      <c r="A5" t="s">
        <v>66</v>
      </c>
      <c r="B5" s="68">
        <v>91</v>
      </c>
      <c r="C5" s="67">
        <v>147</v>
      </c>
      <c r="D5" s="67">
        <v>9</v>
      </c>
      <c r="E5" s="68">
        <v>42</v>
      </c>
      <c r="F5" s="68">
        <v>81</v>
      </c>
      <c r="G5" s="24"/>
      <c r="H5" s="26"/>
      <c r="I5" s="24"/>
      <c r="J5" s="26"/>
      <c r="K5" s="26"/>
      <c r="L5" s="26"/>
      <c r="M5" s="26"/>
      <c r="N5" s="26"/>
      <c r="O5" s="20"/>
      <c r="P5" s="20" t="s">
        <v>66</v>
      </c>
      <c r="Q5" s="39">
        <f t="shared" ref="Q5:Q7" si="1">B5/B$8</f>
        <v>4.6916890080428951E-3</v>
      </c>
      <c r="R5" s="39">
        <f t="shared" ref="R5:S7" si="2">C5/C$8</f>
        <v>2.1012307208507839E-3</v>
      </c>
      <c r="S5" s="39">
        <f t="shared" si="2"/>
        <v>1.1001100110011001E-3</v>
      </c>
      <c r="T5" s="39">
        <f t="shared" ref="T5:T7" si="3">E5/E$8</f>
        <v>3.1854379977246873E-3</v>
      </c>
      <c r="U5" s="39">
        <f t="shared" ref="U5:U7" si="4">F5/F$8</f>
        <v>2.177770608162607E-3</v>
      </c>
      <c r="V5" s="39" t="e">
        <f t="shared" ref="V5:V7" si="5">G5/G$8</f>
        <v>#DIV/0!</v>
      </c>
      <c r="W5" s="39" t="e">
        <f t="shared" ref="W5:W7" si="6">H5/H$8</f>
        <v>#DIV/0!</v>
      </c>
      <c r="X5" s="39" t="e">
        <f t="shared" ref="X5:X7" si="7">I5/I$8</f>
        <v>#DIV/0!</v>
      </c>
      <c r="Y5" s="39" t="e">
        <f t="shared" ref="Y5:Y7" si="8">J5/J$8</f>
        <v>#DIV/0!</v>
      </c>
      <c r="Z5" s="39" t="e">
        <f t="shared" ref="Z5:Z7" si="9">K5/K$8</f>
        <v>#DIV/0!</v>
      </c>
      <c r="AA5" s="39" t="e">
        <f t="shared" ref="AA5:AA7" si="10">L5/L$8</f>
        <v>#DIV/0!</v>
      </c>
      <c r="AB5" s="39" t="e">
        <f t="shared" ref="AB5:AB7" si="11">M5/M$8</f>
        <v>#DIV/0!</v>
      </c>
      <c r="AC5" s="39" t="e">
        <f t="shared" ref="AC5:AC7" si="12">N5/N$8</f>
        <v>#DIV/0!</v>
      </c>
    </row>
    <row r="6" spans="1:29">
      <c r="A6" t="s">
        <v>67</v>
      </c>
      <c r="B6" s="68">
        <v>39</v>
      </c>
      <c r="C6" s="67">
        <v>124</v>
      </c>
      <c r="D6" s="67">
        <v>7</v>
      </c>
      <c r="E6" s="68">
        <v>53</v>
      </c>
      <c r="F6" s="68">
        <v>91</v>
      </c>
      <c r="G6" s="24"/>
      <c r="H6" s="26"/>
      <c r="I6" s="24"/>
      <c r="J6" s="26"/>
      <c r="K6" s="26"/>
      <c r="L6" s="26"/>
      <c r="M6" s="26"/>
      <c r="N6" s="26"/>
      <c r="O6" s="20"/>
      <c r="P6" s="20" t="s">
        <v>67</v>
      </c>
      <c r="Q6" s="39">
        <f t="shared" si="1"/>
        <v>2.0107238605898124E-3</v>
      </c>
      <c r="R6" s="39">
        <f t="shared" si="2"/>
        <v>1.7724667305135866E-3</v>
      </c>
      <c r="S6" s="39">
        <f t="shared" si="2"/>
        <v>8.5564111966752229E-4</v>
      </c>
      <c r="T6" s="39">
        <f t="shared" si="3"/>
        <v>4.0197193780811529E-3</v>
      </c>
      <c r="U6" s="39">
        <f t="shared" si="4"/>
        <v>2.4466311770715708E-3</v>
      </c>
      <c r="V6" s="39" t="e">
        <f t="shared" si="5"/>
        <v>#DIV/0!</v>
      </c>
      <c r="W6" s="39" t="e">
        <f t="shared" si="6"/>
        <v>#DIV/0!</v>
      </c>
      <c r="X6" s="39" t="e">
        <f t="shared" si="7"/>
        <v>#DIV/0!</v>
      </c>
      <c r="Y6" s="39" t="e">
        <f t="shared" si="8"/>
        <v>#DIV/0!</v>
      </c>
      <c r="Z6" s="39" t="e">
        <f t="shared" si="9"/>
        <v>#DIV/0!</v>
      </c>
      <c r="AA6" s="39" t="e">
        <f t="shared" si="10"/>
        <v>#DIV/0!</v>
      </c>
      <c r="AB6" s="39" t="e">
        <f t="shared" si="11"/>
        <v>#DIV/0!</v>
      </c>
      <c r="AC6" s="39" t="e">
        <f t="shared" si="12"/>
        <v>#DIV/0!</v>
      </c>
    </row>
    <row r="7" spans="1:29">
      <c r="A7" t="s">
        <v>54</v>
      </c>
      <c r="B7" s="26">
        <v>1</v>
      </c>
      <c r="C7" s="26">
        <v>41</v>
      </c>
      <c r="D7" s="26">
        <v>0</v>
      </c>
      <c r="E7" s="68">
        <v>2641</v>
      </c>
      <c r="F7" s="24">
        <v>1</v>
      </c>
      <c r="G7" s="26"/>
      <c r="H7" s="26"/>
      <c r="I7" s="26"/>
      <c r="J7" s="26"/>
      <c r="K7" s="26"/>
      <c r="L7" s="26"/>
      <c r="M7" s="26"/>
      <c r="N7" s="26"/>
      <c r="O7" s="20"/>
      <c r="P7" s="41" t="s">
        <v>54</v>
      </c>
      <c r="Q7" s="39">
        <f t="shared" si="1"/>
        <v>5.1557022066405446E-5</v>
      </c>
      <c r="R7" s="39">
        <f t="shared" si="2"/>
        <v>5.8605754799239556E-4</v>
      </c>
      <c r="S7" s="39">
        <f t="shared" si="2"/>
        <v>0</v>
      </c>
      <c r="T7" s="39">
        <f t="shared" si="3"/>
        <v>0.20030337504740234</v>
      </c>
      <c r="U7" s="39">
        <f t="shared" si="4"/>
        <v>2.6886056890896382E-5</v>
      </c>
      <c r="V7" s="39" t="e">
        <f t="shared" si="5"/>
        <v>#DIV/0!</v>
      </c>
      <c r="W7" s="39" t="e">
        <f t="shared" si="6"/>
        <v>#DIV/0!</v>
      </c>
      <c r="X7" s="39" t="e">
        <f t="shared" si="7"/>
        <v>#DIV/0!</v>
      </c>
      <c r="Y7" s="39" t="e">
        <f t="shared" si="8"/>
        <v>#DIV/0!</v>
      </c>
      <c r="Z7" s="39" t="e">
        <f t="shared" si="9"/>
        <v>#DIV/0!</v>
      </c>
      <c r="AA7" s="39" t="e">
        <f t="shared" si="10"/>
        <v>#DIV/0!</v>
      </c>
      <c r="AB7" s="39" t="e">
        <f t="shared" si="11"/>
        <v>#DIV/0!</v>
      </c>
      <c r="AC7" s="39" t="e">
        <f t="shared" si="12"/>
        <v>#DIV/0!</v>
      </c>
    </row>
    <row r="8" spans="1:29">
      <c r="B8">
        <f>SUM(B4:B7)</f>
        <v>19396</v>
      </c>
      <c r="C8" s="20">
        <f t="shared" ref="C8:N8" si="13">SUM(C4:C7)</f>
        <v>69959</v>
      </c>
      <c r="D8" s="20">
        <f t="shared" si="13"/>
        <v>8181</v>
      </c>
      <c r="E8" s="20">
        <f t="shared" si="13"/>
        <v>13185</v>
      </c>
      <c r="F8" s="20">
        <f t="shared" si="13"/>
        <v>37194</v>
      </c>
      <c r="G8" s="20">
        <f t="shared" si="13"/>
        <v>0</v>
      </c>
      <c r="H8" s="20">
        <f t="shared" si="13"/>
        <v>0</v>
      </c>
      <c r="I8" s="20">
        <f t="shared" si="13"/>
        <v>0</v>
      </c>
      <c r="J8" s="20">
        <f t="shared" si="13"/>
        <v>0</v>
      </c>
      <c r="K8" s="20">
        <f t="shared" si="13"/>
        <v>0</v>
      </c>
      <c r="L8" s="20">
        <f t="shared" si="13"/>
        <v>0</v>
      </c>
      <c r="M8" s="20">
        <f t="shared" si="13"/>
        <v>0</v>
      </c>
      <c r="N8" s="20">
        <f t="shared" si="13"/>
        <v>0</v>
      </c>
      <c r="O8" s="20"/>
      <c r="P8" s="20"/>
      <c r="Q8" s="43"/>
      <c r="R8" s="43"/>
      <c r="S8" s="43"/>
      <c r="T8" s="43"/>
      <c r="U8" s="43"/>
      <c r="V8" s="20"/>
      <c r="W8" s="20"/>
      <c r="X8" s="20"/>
      <c r="Y8" s="20"/>
      <c r="Z8" s="20"/>
      <c r="AA8" s="20"/>
      <c r="AB8" s="20"/>
      <c r="AC8" s="20"/>
    </row>
    <row r="10" spans="1:29">
      <c r="A10" s="47" t="s">
        <v>150</v>
      </c>
    </row>
    <row r="12" spans="1:29">
      <c r="A12" t="s">
        <v>41</v>
      </c>
    </row>
    <row r="13" spans="1:29" ht="40.25" customHeight="1" thickBot="1">
      <c r="B13" s="22" t="str">
        <f>Table_4.0_Information!$A$4</f>
        <v>Colorado</v>
      </c>
      <c r="C13" s="22" t="str">
        <f>Table_4.0_Information!$A$5</f>
        <v>Kentucky</v>
      </c>
      <c r="D13" s="22" t="s">
        <v>337</v>
      </c>
      <c r="E13" s="22" t="str">
        <f>Table_4.0_Information!$A$6</f>
        <v>New Mexico</v>
      </c>
      <c r="F13" s="22" t="s">
        <v>338</v>
      </c>
      <c r="G13" s="22" t="str">
        <f>Table_4.0_Information!$A$8</f>
        <v>5 add state in table 0</v>
      </c>
      <c r="H13" s="22" t="str">
        <f>Table_4.0_Information!$A$9</f>
        <v>6 add state in table 0</v>
      </c>
      <c r="I13" s="22" t="str">
        <f>Table_4.0_Information!$A$10</f>
        <v>7 add state in table 0</v>
      </c>
      <c r="J13" s="22" t="str">
        <f>Table_4.0_Information!$A$11</f>
        <v>8 add state in table 0</v>
      </c>
      <c r="K13" s="22" t="str">
        <f>Table_4.0_Information!$A$12</f>
        <v>9 add state in table 0</v>
      </c>
      <c r="L13" s="22" t="str">
        <f>Table_4.0_Information!$A$13</f>
        <v>10 add state in table 0</v>
      </c>
      <c r="M13" s="22" t="str">
        <f>Table_4.0_Information!$A$14</f>
        <v>11 add state in table 0</v>
      </c>
      <c r="N13" s="22" t="str">
        <f>Table_4.0_Information!$A$15</f>
        <v>12 add state in table 0</v>
      </c>
      <c r="O13" s="20"/>
      <c r="P13" s="18"/>
      <c r="Q13" s="22" t="str">
        <f>Table_4.0_Information!$A$4</f>
        <v>Colorado</v>
      </c>
      <c r="R13" s="22" t="str">
        <f>Table_4.0_Information!$A$5</f>
        <v>Kentucky</v>
      </c>
      <c r="S13" s="22" t="s">
        <v>337</v>
      </c>
      <c r="T13" s="22" t="str">
        <f>Table_4.0_Information!$A$6</f>
        <v>New Mexico</v>
      </c>
      <c r="U13" s="22" t="s">
        <v>338</v>
      </c>
      <c r="V13" s="22" t="str">
        <f>Table_4.0_Information!$A$8</f>
        <v>5 add state in table 0</v>
      </c>
      <c r="W13" s="22" t="str">
        <f>Table_4.0_Information!$A$9</f>
        <v>6 add state in table 0</v>
      </c>
      <c r="X13" s="22" t="str">
        <f>Table_4.0_Information!$A$10</f>
        <v>7 add state in table 0</v>
      </c>
      <c r="Y13" s="22" t="str">
        <f>Table_4.0_Information!$A$11</f>
        <v>8 add state in table 0</v>
      </c>
      <c r="Z13" s="22" t="str">
        <f>Table_4.0_Information!$A$12</f>
        <v>9 add state in table 0</v>
      </c>
      <c r="AA13" s="22" t="str">
        <f>Table_4.0_Information!$A$13</f>
        <v>10 add state in table 0</v>
      </c>
      <c r="AB13" s="22" t="str">
        <f>Table_4.0_Information!$A$14</f>
        <v>11 add state in table 0</v>
      </c>
      <c r="AC13" s="22" t="str">
        <f>Table_4.0_Information!$A$15</f>
        <v>12 add state in table 0</v>
      </c>
    </row>
    <row r="14" spans="1:29" ht="17" thickTop="1" thickBot="1">
      <c r="A14" s="16" t="s">
        <v>53</v>
      </c>
      <c r="B14" s="68">
        <v>4969</v>
      </c>
      <c r="C14" s="67">
        <v>28475</v>
      </c>
      <c r="D14" s="211">
        <v>7884</v>
      </c>
      <c r="E14" s="68">
        <v>2922</v>
      </c>
      <c r="F14" s="68">
        <v>11858</v>
      </c>
      <c r="G14" s="24"/>
      <c r="H14" s="26"/>
      <c r="I14" s="24"/>
      <c r="J14" s="26"/>
      <c r="K14" s="26"/>
      <c r="L14" s="26"/>
      <c r="M14" s="26"/>
      <c r="N14" s="26"/>
      <c r="O14" s="20"/>
      <c r="P14" s="20" t="s">
        <v>38</v>
      </c>
      <c r="Q14" s="39">
        <f>B14/B$21</f>
        <v>0.25618684264796865</v>
      </c>
      <c r="R14" s="39">
        <f>C14/C$21</f>
        <v>0.40702411412398692</v>
      </c>
      <c r="S14" s="39">
        <f t="shared" ref="S14:AC14" si="14">D14/D$21</f>
        <v>0.20784013919278729</v>
      </c>
      <c r="T14" s="39">
        <f t="shared" si="14"/>
        <v>0.22161547212741753</v>
      </c>
      <c r="U14" s="39">
        <f t="shared" si="14"/>
        <v>0.31881486261224928</v>
      </c>
      <c r="V14" s="39" t="e">
        <f t="shared" si="14"/>
        <v>#DIV/0!</v>
      </c>
      <c r="W14" s="39" t="e">
        <f t="shared" si="14"/>
        <v>#DIV/0!</v>
      </c>
      <c r="X14" s="39" t="e">
        <f t="shared" si="14"/>
        <v>#DIV/0!</v>
      </c>
      <c r="Y14" s="39" t="e">
        <f t="shared" si="14"/>
        <v>#DIV/0!</v>
      </c>
      <c r="Z14" s="39" t="e">
        <f t="shared" si="14"/>
        <v>#DIV/0!</v>
      </c>
      <c r="AA14" s="39" t="e">
        <f t="shared" si="14"/>
        <v>#DIV/0!</v>
      </c>
      <c r="AB14" s="39" t="e">
        <f t="shared" si="14"/>
        <v>#DIV/0!</v>
      </c>
      <c r="AC14" s="39" t="e">
        <f t="shared" si="14"/>
        <v>#DIV/0!</v>
      </c>
    </row>
    <row r="15" spans="1:29" ht="16" thickBot="1">
      <c r="A15" s="16" t="s">
        <v>42</v>
      </c>
      <c r="B15" s="68">
        <v>3422</v>
      </c>
      <c r="C15" s="67">
        <v>6317</v>
      </c>
      <c r="D15" s="211">
        <v>3162</v>
      </c>
      <c r="E15" s="68">
        <v>1533</v>
      </c>
      <c r="F15" s="68">
        <v>5520</v>
      </c>
      <c r="G15" s="24"/>
      <c r="H15" s="26"/>
      <c r="I15" s="24"/>
      <c r="J15" s="26"/>
      <c r="K15" s="26"/>
      <c r="L15" s="26"/>
      <c r="M15" s="26"/>
      <c r="N15" s="26"/>
      <c r="O15" s="20"/>
      <c r="P15" s="20" t="s">
        <v>42</v>
      </c>
      <c r="Q15" s="39">
        <f t="shared" ref="Q15:Q20" si="15">B15/B$21</f>
        <v>0.17642812951123943</v>
      </c>
      <c r="R15" s="39">
        <f t="shared" ref="R15:R20" si="16">C15/C$21</f>
        <v>9.0295744650438117E-2</v>
      </c>
      <c r="S15" s="39">
        <f t="shared" ref="S15:U20" si="17">D15/D$21</f>
        <v>8.3357498747792164E-2</v>
      </c>
      <c r="T15" s="39">
        <f t="shared" ref="T15:T20" si="18">E15/E$21</f>
        <v>0.11626848691695107</v>
      </c>
      <c r="U15" s="39">
        <f t="shared" si="17"/>
        <v>0.14841103403774802</v>
      </c>
      <c r="V15" s="39" t="e">
        <f t="shared" ref="V15:V20" si="19">G15/G$21</f>
        <v>#DIV/0!</v>
      </c>
      <c r="W15" s="39" t="e">
        <f t="shared" ref="W15:W20" si="20">H15/H$21</f>
        <v>#DIV/0!</v>
      </c>
      <c r="X15" s="39" t="e">
        <f t="shared" ref="X15:X20" si="21">I15/I$21</f>
        <v>#DIV/0!</v>
      </c>
      <c r="Y15" s="39" t="e">
        <f t="shared" ref="Y15:Y20" si="22">J15/J$21</f>
        <v>#DIV/0!</v>
      </c>
      <c r="Z15" s="39" t="e">
        <f t="shared" ref="Z15:Z20" si="23">K15/K$21</f>
        <v>#DIV/0!</v>
      </c>
      <c r="AA15" s="39" t="e">
        <f t="shared" ref="AA15:AA20" si="24">L15/L$21</f>
        <v>#DIV/0!</v>
      </c>
      <c r="AB15" s="39" t="e">
        <f t="shared" ref="AB15:AB20" si="25">M15/M$21</f>
        <v>#DIV/0!</v>
      </c>
      <c r="AC15" s="39" t="e">
        <f t="shared" ref="AC15:AC20" si="26">N15/N$21</f>
        <v>#DIV/0!</v>
      </c>
    </row>
    <row r="16" spans="1:29" ht="16" thickBot="1">
      <c r="A16" s="16" t="s">
        <v>39</v>
      </c>
      <c r="B16" s="68">
        <v>31</v>
      </c>
      <c r="C16" s="67">
        <v>84</v>
      </c>
      <c r="D16" s="211">
        <v>33</v>
      </c>
      <c r="E16" s="68">
        <v>17</v>
      </c>
      <c r="F16" s="68">
        <v>56</v>
      </c>
      <c r="G16" s="24"/>
      <c r="H16" s="26"/>
      <c r="I16" s="24"/>
      <c r="J16" s="26"/>
      <c r="K16" s="26"/>
      <c r="L16" s="26"/>
      <c r="M16" s="26"/>
      <c r="N16" s="26"/>
      <c r="O16" s="20"/>
      <c r="P16" s="20" t="s">
        <v>39</v>
      </c>
      <c r="Q16" s="39">
        <f t="shared" si="15"/>
        <v>1.5982676840585687E-3</v>
      </c>
      <c r="R16" s="39">
        <f t="shared" si="16"/>
        <v>1.2007032690575909E-3</v>
      </c>
      <c r="S16" s="39">
        <f t="shared" si="17"/>
        <v>8.6995492051775494E-4</v>
      </c>
      <c r="T16" s="39">
        <f t="shared" si="18"/>
        <v>1.2893439514599925E-3</v>
      </c>
      <c r="U16" s="39">
        <f t="shared" si="17"/>
        <v>1.5056191858901973E-3</v>
      </c>
      <c r="V16" s="39" t="e">
        <f t="shared" si="19"/>
        <v>#DIV/0!</v>
      </c>
      <c r="W16" s="39" t="e">
        <f t="shared" si="20"/>
        <v>#DIV/0!</v>
      </c>
      <c r="X16" s="39" t="e">
        <f t="shared" si="21"/>
        <v>#DIV/0!</v>
      </c>
      <c r="Y16" s="39" t="e">
        <f t="shared" si="22"/>
        <v>#DIV/0!</v>
      </c>
      <c r="Z16" s="39" t="e">
        <f t="shared" si="23"/>
        <v>#DIV/0!</v>
      </c>
      <c r="AA16" s="39" t="e">
        <f t="shared" si="24"/>
        <v>#DIV/0!</v>
      </c>
      <c r="AB16" s="39" t="e">
        <f t="shared" si="25"/>
        <v>#DIV/0!</v>
      </c>
      <c r="AC16" s="39" t="e">
        <f t="shared" si="26"/>
        <v>#DIV/0!</v>
      </c>
    </row>
    <row r="17" spans="1:29" ht="16" thickBot="1">
      <c r="A17" s="16" t="s">
        <v>40</v>
      </c>
      <c r="B17" s="68">
        <v>674</v>
      </c>
      <c r="C17" s="67">
        <v>1472</v>
      </c>
      <c r="D17" s="211">
        <v>654</v>
      </c>
      <c r="E17" s="68">
        <v>225</v>
      </c>
      <c r="F17" s="68">
        <v>735</v>
      </c>
      <c r="G17" s="26"/>
      <c r="H17" s="26"/>
      <c r="I17" s="26"/>
      <c r="J17" s="26"/>
      <c r="K17" s="26"/>
      <c r="L17" s="26"/>
      <c r="M17" s="26"/>
      <c r="N17" s="26"/>
      <c r="O17" s="20"/>
      <c r="P17" s="41" t="s">
        <v>40</v>
      </c>
      <c r="Q17" s="39">
        <f t="shared" si="15"/>
        <v>3.4749432872757273E-2</v>
      </c>
      <c r="R17" s="39">
        <f t="shared" si="16"/>
        <v>2.1040895381580639E-2</v>
      </c>
      <c r="S17" s="39">
        <f t="shared" si="17"/>
        <v>1.7240924788442781E-2</v>
      </c>
      <c r="T17" s="39">
        <f t="shared" si="18"/>
        <v>1.7064846416382253E-2</v>
      </c>
      <c r="U17" s="39">
        <f t="shared" si="17"/>
        <v>1.9761251814808839E-2</v>
      </c>
      <c r="V17" s="39" t="e">
        <f t="shared" si="19"/>
        <v>#DIV/0!</v>
      </c>
      <c r="W17" s="39" t="e">
        <f t="shared" si="20"/>
        <v>#DIV/0!</v>
      </c>
      <c r="X17" s="39" t="e">
        <f t="shared" si="21"/>
        <v>#DIV/0!</v>
      </c>
      <c r="Y17" s="39" t="e">
        <f t="shared" si="22"/>
        <v>#DIV/0!</v>
      </c>
      <c r="Z17" s="39" t="e">
        <f t="shared" si="23"/>
        <v>#DIV/0!</v>
      </c>
      <c r="AA17" s="39" t="e">
        <f t="shared" si="24"/>
        <v>#DIV/0!</v>
      </c>
      <c r="AB17" s="39" t="e">
        <f t="shared" si="25"/>
        <v>#DIV/0!</v>
      </c>
      <c r="AC17" s="39" t="e">
        <f t="shared" si="26"/>
        <v>#DIV/0!</v>
      </c>
    </row>
    <row r="18" spans="1:29" ht="16" thickBot="1">
      <c r="A18" s="16" t="s">
        <v>43</v>
      </c>
      <c r="B18" s="68">
        <v>9492</v>
      </c>
      <c r="C18" s="67">
        <v>32379</v>
      </c>
      <c r="D18" s="211">
        <v>25326</v>
      </c>
      <c r="E18" s="68">
        <v>5583</v>
      </c>
      <c r="F18" s="68">
        <v>18398</v>
      </c>
      <c r="G18" s="26"/>
      <c r="H18" s="26"/>
      <c r="I18" s="26"/>
      <c r="J18" s="26"/>
      <c r="K18" s="26"/>
      <c r="L18" s="26"/>
      <c r="M18" s="26"/>
      <c r="N18" s="26"/>
      <c r="O18" s="20"/>
      <c r="P18" s="20" t="s">
        <v>43</v>
      </c>
      <c r="Q18" s="39">
        <f t="shared" si="15"/>
        <v>0.48937925345432048</v>
      </c>
      <c r="R18" s="39">
        <f t="shared" si="16"/>
        <v>0.46282822796209211</v>
      </c>
      <c r="S18" s="39">
        <f t="shared" si="17"/>
        <v>0.66765085809189884</v>
      </c>
      <c r="T18" s="39">
        <f t="shared" si="18"/>
        <v>0.42343572241183164</v>
      </c>
      <c r="U18" s="39">
        <f t="shared" si="17"/>
        <v>0.49464967467871163</v>
      </c>
      <c r="V18" s="39" t="e">
        <f t="shared" si="19"/>
        <v>#DIV/0!</v>
      </c>
      <c r="W18" s="39" t="e">
        <f t="shared" si="20"/>
        <v>#DIV/0!</v>
      </c>
      <c r="X18" s="39" t="e">
        <f t="shared" si="21"/>
        <v>#DIV/0!</v>
      </c>
      <c r="Y18" s="39" t="e">
        <f t="shared" si="22"/>
        <v>#DIV/0!</v>
      </c>
      <c r="Z18" s="39" t="e">
        <f t="shared" si="23"/>
        <v>#DIV/0!</v>
      </c>
      <c r="AA18" s="39" t="e">
        <f t="shared" si="24"/>
        <v>#DIV/0!</v>
      </c>
      <c r="AB18" s="39" t="e">
        <f t="shared" si="25"/>
        <v>#DIV/0!</v>
      </c>
      <c r="AC18" s="39" t="e">
        <f t="shared" si="26"/>
        <v>#DIV/0!</v>
      </c>
    </row>
    <row r="19" spans="1:29">
      <c r="A19" s="16" t="s">
        <v>44</v>
      </c>
      <c r="B19" s="68">
        <v>808</v>
      </c>
      <c r="C19" s="67">
        <v>1232</v>
      </c>
      <c r="D19" s="212">
        <v>874</v>
      </c>
      <c r="E19" s="68">
        <v>304</v>
      </c>
      <c r="F19" s="68">
        <v>627</v>
      </c>
      <c r="G19" s="26"/>
      <c r="H19" s="26"/>
      <c r="I19" s="26"/>
      <c r="J19" s="26"/>
      <c r="K19" s="26"/>
      <c r="L19" s="26"/>
      <c r="M19" s="26"/>
      <c r="N19" s="26"/>
      <c r="O19" s="20"/>
      <c r="P19" s="20" t="s">
        <v>44</v>
      </c>
      <c r="Q19" s="39">
        <f t="shared" si="15"/>
        <v>4.1658073829655598E-2</v>
      </c>
      <c r="R19" s="39">
        <f t="shared" si="16"/>
        <v>1.7610314612844666E-2</v>
      </c>
      <c r="S19" s="39">
        <f t="shared" si="17"/>
        <v>2.3040624258561147E-2</v>
      </c>
      <c r="T19" s="39">
        <f t="shared" si="18"/>
        <v>2.3056503602578687E-2</v>
      </c>
      <c r="U19" s="39">
        <f t="shared" si="17"/>
        <v>1.6857557670592032E-2</v>
      </c>
      <c r="V19" s="39" t="e">
        <f t="shared" si="19"/>
        <v>#DIV/0!</v>
      </c>
      <c r="W19" s="39" t="e">
        <f t="shared" si="20"/>
        <v>#DIV/0!</v>
      </c>
      <c r="X19" s="39" t="e">
        <f t="shared" si="21"/>
        <v>#DIV/0!</v>
      </c>
      <c r="Y19" s="39" t="e">
        <f t="shared" si="22"/>
        <v>#DIV/0!</v>
      </c>
      <c r="Z19" s="39" t="e">
        <f t="shared" si="23"/>
        <v>#DIV/0!</v>
      </c>
      <c r="AA19" s="39" t="e">
        <f t="shared" si="24"/>
        <v>#DIV/0!</v>
      </c>
      <c r="AB19" s="39" t="e">
        <f t="shared" si="25"/>
        <v>#DIV/0!</v>
      </c>
      <c r="AC19" s="39" t="e">
        <f t="shared" si="26"/>
        <v>#DIV/0!</v>
      </c>
    </row>
    <row r="20" spans="1:29">
      <c r="A20" s="20" t="s">
        <v>54</v>
      </c>
      <c r="B20" s="26"/>
      <c r="C20" s="26"/>
      <c r="D20" s="26"/>
      <c r="E20" s="68">
        <v>2601</v>
      </c>
      <c r="F20" s="24"/>
      <c r="G20" s="26"/>
      <c r="H20" s="26"/>
      <c r="I20" s="26"/>
      <c r="J20" s="26"/>
      <c r="K20" s="26"/>
      <c r="L20" s="26"/>
      <c r="M20" s="26"/>
      <c r="N20" s="26"/>
      <c r="O20" s="37"/>
      <c r="P20" s="37" t="s">
        <v>54</v>
      </c>
      <c r="Q20" s="39">
        <f t="shared" si="15"/>
        <v>0</v>
      </c>
      <c r="R20" s="39">
        <f t="shared" si="16"/>
        <v>0</v>
      </c>
      <c r="S20" s="39">
        <f t="shared" si="17"/>
        <v>0</v>
      </c>
      <c r="T20" s="39">
        <f t="shared" si="18"/>
        <v>0.19726962457337885</v>
      </c>
      <c r="U20" s="39">
        <f t="shared" si="17"/>
        <v>0</v>
      </c>
      <c r="V20" s="39" t="e">
        <f t="shared" si="19"/>
        <v>#DIV/0!</v>
      </c>
      <c r="W20" s="39" t="e">
        <f t="shared" si="20"/>
        <v>#DIV/0!</v>
      </c>
      <c r="X20" s="39" t="e">
        <f t="shared" si="21"/>
        <v>#DIV/0!</v>
      </c>
      <c r="Y20" s="39" t="e">
        <f t="shared" si="22"/>
        <v>#DIV/0!</v>
      </c>
      <c r="Z20" s="39" t="e">
        <f t="shared" si="23"/>
        <v>#DIV/0!</v>
      </c>
      <c r="AA20" s="39" t="e">
        <f t="shared" si="24"/>
        <v>#DIV/0!</v>
      </c>
      <c r="AB20" s="39" t="e">
        <f t="shared" si="25"/>
        <v>#DIV/0!</v>
      </c>
      <c r="AC20" s="39" t="e">
        <f t="shared" si="26"/>
        <v>#DIV/0!</v>
      </c>
    </row>
    <row r="21" spans="1:29" s="20" customFormat="1">
      <c r="A21" s="37" t="s">
        <v>133</v>
      </c>
      <c r="B21" s="20">
        <f>SUM(B14:B20)</f>
        <v>19396</v>
      </c>
      <c r="C21" s="20">
        <f t="shared" ref="C21:N21" si="27">SUM(C14:C20)</f>
        <v>69959</v>
      </c>
      <c r="D21" s="20">
        <f t="shared" si="27"/>
        <v>37933</v>
      </c>
      <c r="E21" s="20">
        <f t="shared" si="27"/>
        <v>13185</v>
      </c>
      <c r="F21" s="20">
        <f t="shared" si="27"/>
        <v>37194</v>
      </c>
      <c r="G21" s="20">
        <f t="shared" si="27"/>
        <v>0</v>
      </c>
      <c r="H21" s="20">
        <f t="shared" si="27"/>
        <v>0</v>
      </c>
      <c r="I21" s="20">
        <f t="shared" si="27"/>
        <v>0</v>
      </c>
      <c r="J21" s="20">
        <f t="shared" si="27"/>
        <v>0</v>
      </c>
      <c r="K21" s="20">
        <f t="shared" si="27"/>
        <v>0</v>
      </c>
      <c r="L21" s="20">
        <f t="shared" si="27"/>
        <v>0</v>
      </c>
      <c r="M21" s="20">
        <f t="shared" si="27"/>
        <v>0</v>
      </c>
      <c r="N21" s="20">
        <f t="shared" si="27"/>
        <v>0</v>
      </c>
      <c r="O21" s="37"/>
      <c r="P21" s="37"/>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K61"/>
  <sheetViews>
    <sheetView zoomScaleNormal="100" workbookViewId="0">
      <selection activeCell="E12" sqref="E12"/>
    </sheetView>
  </sheetViews>
  <sheetFormatPr baseColWidth="10" defaultColWidth="10.6640625" defaultRowHeight="15"/>
  <cols>
    <col min="1" max="1" width="110" style="52" bestFit="1" customWidth="1"/>
    <col min="2" max="2" width="3" style="52" bestFit="1" customWidth="1"/>
    <col min="3" max="6" width="8" style="65" customWidth="1"/>
    <col min="7" max="7" width="7" style="65" customWidth="1"/>
    <col min="8" max="8" width="16.33203125" style="65" bestFit="1" customWidth="1"/>
    <col min="9" max="11" width="8" style="65" customWidth="1"/>
    <col min="12" max="12" width="10.6640625" style="52" customWidth="1"/>
    <col min="13" max="17" width="10.6640625" style="52"/>
    <col min="18" max="18" width="10.6640625" style="72"/>
    <col min="19" max="16384" width="10.6640625" style="52"/>
  </cols>
  <sheetData>
    <row r="1" spans="1:63">
      <c r="A1" s="257" t="s">
        <v>217</v>
      </c>
      <c r="B1" s="256"/>
      <c r="C1" s="256"/>
      <c r="D1" s="256"/>
      <c r="E1" s="256"/>
      <c r="F1" s="256"/>
      <c r="G1" s="256"/>
      <c r="H1" s="69"/>
      <c r="I1" s="69"/>
      <c r="J1" s="69"/>
      <c r="K1" s="69"/>
    </row>
    <row r="2" spans="1:63">
      <c r="E2" s="65" t="s">
        <v>58</v>
      </c>
      <c r="H2" s="253" t="str">
        <f>Table_4.0_Information!$A$5</f>
        <v>Kentucky</v>
      </c>
      <c r="I2" s="253"/>
      <c r="J2" s="253"/>
      <c r="K2" s="253"/>
      <c r="L2" s="253"/>
      <c r="M2" s="253" t="str">
        <f>Table_4.0_Information!$A$6</f>
        <v>New Mexico</v>
      </c>
      <c r="N2" s="253"/>
      <c r="O2" s="253"/>
      <c r="P2" s="253"/>
      <c r="Q2" s="253"/>
      <c r="R2" s="71"/>
      <c r="S2" s="253" t="str">
        <f>Table_4.0_Information!$A$7</f>
        <v>4 add state in table 0</v>
      </c>
      <c r="T2" s="253"/>
      <c r="U2" s="253"/>
      <c r="V2" s="253"/>
      <c r="W2" s="253"/>
      <c r="X2" s="253" t="str">
        <f>Table_4.0_Information!$A$8</f>
        <v>5 add state in table 0</v>
      </c>
      <c r="Y2" s="253"/>
      <c r="Z2" s="253"/>
      <c r="AA2" s="253"/>
      <c r="AB2" s="253"/>
      <c r="AC2" s="253" t="str">
        <f>Table_4.0_Information!$A$9</f>
        <v>6 add state in table 0</v>
      </c>
      <c r="AD2" s="253"/>
      <c r="AE2" s="253"/>
      <c r="AF2" s="253"/>
      <c r="AG2" s="253"/>
      <c r="AH2" s="253" t="str">
        <f>Table_4.0_Information!$A$10</f>
        <v>7 add state in table 0</v>
      </c>
      <c r="AI2" s="253"/>
      <c r="AJ2" s="253"/>
      <c r="AK2" s="253"/>
      <c r="AL2" s="253"/>
      <c r="AM2" s="253" t="str">
        <f>Table_4.0_Information!$A$11</f>
        <v>8 add state in table 0</v>
      </c>
      <c r="AN2" s="253"/>
      <c r="AO2" s="253"/>
      <c r="AP2" s="253"/>
      <c r="AQ2" s="253"/>
      <c r="AR2" s="253" t="str">
        <f>Table_4.0_Information!$A$12</f>
        <v>9 add state in table 0</v>
      </c>
      <c r="AS2" s="253"/>
      <c r="AT2" s="253"/>
      <c r="AU2" s="253"/>
      <c r="AV2" s="253"/>
      <c r="AW2" s="253" t="str">
        <f>Table_4.0_Information!$A$13</f>
        <v>10 add state in table 0</v>
      </c>
      <c r="AX2" s="253"/>
      <c r="AY2" s="253"/>
      <c r="AZ2" s="253"/>
      <c r="BA2" s="253"/>
      <c r="BB2" s="253" t="str">
        <f>Table_4.0_Information!$A$14</f>
        <v>11 add state in table 0</v>
      </c>
      <c r="BC2" s="253"/>
      <c r="BD2" s="253"/>
      <c r="BE2" s="253"/>
      <c r="BF2" s="253"/>
      <c r="BG2" s="253" t="str">
        <f>Table_4.0_Information!$A$15</f>
        <v>12 add state in table 0</v>
      </c>
      <c r="BH2" s="253"/>
      <c r="BI2" s="253"/>
      <c r="BJ2" s="253"/>
      <c r="BK2" s="253"/>
    </row>
    <row r="3" spans="1:63">
      <c r="A3" s="258" t="s">
        <v>162</v>
      </c>
      <c r="B3" s="258"/>
      <c r="C3" s="254" t="s">
        <v>163</v>
      </c>
      <c r="D3" s="254"/>
      <c r="E3" s="254"/>
      <c r="F3" s="254"/>
      <c r="G3" s="254" t="s">
        <v>80</v>
      </c>
      <c r="H3" s="64" t="s">
        <v>163</v>
      </c>
      <c r="I3" s="64"/>
      <c r="J3" s="64"/>
      <c r="K3" s="64"/>
      <c r="L3" s="254" t="s">
        <v>80</v>
      </c>
      <c r="M3" s="254" t="s">
        <v>163</v>
      </c>
      <c r="N3" s="254"/>
      <c r="O3" s="254"/>
      <c r="P3" s="254"/>
      <c r="Q3" s="254" t="s">
        <v>80</v>
      </c>
      <c r="R3" s="70"/>
      <c r="S3" s="254" t="s">
        <v>163</v>
      </c>
      <c r="T3" s="254"/>
      <c r="U3" s="254"/>
      <c r="V3" s="254"/>
      <c r="W3" s="254" t="s">
        <v>80</v>
      </c>
      <c r="X3" s="254" t="s">
        <v>163</v>
      </c>
      <c r="Y3" s="254"/>
      <c r="Z3" s="254"/>
      <c r="AA3" s="254"/>
      <c r="AB3" s="254" t="s">
        <v>80</v>
      </c>
      <c r="AC3" s="254" t="s">
        <v>163</v>
      </c>
      <c r="AD3" s="254"/>
      <c r="AE3" s="254"/>
      <c r="AF3" s="254"/>
      <c r="AG3" s="254" t="s">
        <v>80</v>
      </c>
      <c r="AH3" s="254" t="s">
        <v>163</v>
      </c>
      <c r="AI3" s="254"/>
      <c r="AJ3" s="254"/>
      <c r="AK3" s="254"/>
      <c r="AL3" s="254" t="s">
        <v>80</v>
      </c>
      <c r="AM3" s="254" t="s">
        <v>163</v>
      </c>
      <c r="AN3" s="254"/>
      <c r="AO3" s="254"/>
      <c r="AP3" s="254"/>
      <c r="AQ3" s="254" t="s">
        <v>80</v>
      </c>
      <c r="AR3" s="254" t="s">
        <v>163</v>
      </c>
      <c r="AS3" s="254"/>
      <c r="AT3" s="254"/>
      <c r="AU3" s="254"/>
      <c r="AV3" s="254" t="s">
        <v>80</v>
      </c>
      <c r="AW3" s="254" t="s">
        <v>163</v>
      </c>
      <c r="AX3" s="254"/>
      <c r="AY3" s="254"/>
      <c r="AZ3" s="254"/>
      <c r="BA3" s="254" t="s">
        <v>80</v>
      </c>
      <c r="BB3" s="254" t="s">
        <v>163</v>
      </c>
      <c r="BC3" s="254"/>
      <c r="BD3" s="254"/>
      <c r="BE3" s="254"/>
      <c r="BF3" s="254" t="s">
        <v>80</v>
      </c>
      <c r="BG3" s="254" t="s">
        <v>163</v>
      </c>
      <c r="BH3" s="254"/>
      <c r="BI3" s="254"/>
      <c r="BJ3" s="254"/>
      <c r="BK3" s="254" t="s">
        <v>80</v>
      </c>
    </row>
    <row r="4" spans="1:63">
      <c r="A4" s="258"/>
      <c r="B4" s="258"/>
      <c r="C4" s="53" t="s">
        <v>164</v>
      </c>
      <c r="D4" s="53" t="s">
        <v>165</v>
      </c>
      <c r="E4" s="53" t="s">
        <v>166</v>
      </c>
      <c r="F4" s="53" t="s">
        <v>167</v>
      </c>
      <c r="G4" s="254"/>
      <c r="H4" s="53" t="s">
        <v>164</v>
      </c>
      <c r="I4" s="53" t="s">
        <v>165</v>
      </c>
      <c r="J4" s="53" t="s">
        <v>166</v>
      </c>
      <c r="K4" s="53" t="s">
        <v>167</v>
      </c>
      <c r="L4" s="254"/>
      <c r="M4" s="53" t="s">
        <v>164</v>
      </c>
      <c r="N4" s="53" t="s">
        <v>165</v>
      </c>
      <c r="O4" s="53" t="s">
        <v>166</v>
      </c>
      <c r="P4" s="53" t="s">
        <v>167</v>
      </c>
      <c r="Q4" s="254"/>
      <c r="R4" s="70"/>
      <c r="S4" s="53" t="s">
        <v>164</v>
      </c>
      <c r="T4" s="53" t="s">
        <v>165</v>
      </c>
      <c r="U4" s="53" t="s">
        <v>166</v>
      </c>
      <c r="V4" s="53" t="s">
        <v>167</v>
      </c>
      <c r="W4" s="254"/>
      <c r="X4" s="53" t="s">
        <v>164</v>
      </c>
      <c r="Y4" s="53" t="s">
        <v>165</v>
      </c>
      <c r="Z4" s="53" t="s">
        <v>166</v>
      </c>
      <c r="AA4" s="53" t="s">
        <v>167</v>
      </c>
      <c r="AB4" s="254"/>
      <c r="AC4" s="53" t="s">
        <v>164</v>
      </c>
      <c r="AD4" s="53" t="s">
        <v>165</v>
      </c>
      <c r="AE4" s="53" t="s">
        <v>166</v>
      </c>
      <c r="AF4" s="53" t="s">
        <v>167</v>
      </c>
      <c r="AG4" s="254"/>
      <c r="AH4" s="53" t="s">
        <v>164</v>
      </c>
      <c r="AI4" s="53" t="s">
        <v>165</v>
      </c>
      <c r="AJ4" s="53" t="s">
        <v>166</v>
      </c>
      <c r="AK4" s="53" t="s">
        <v>167</v>
      </c>
      <c r="AL4" s="254"/>
      <c r="AM4" s="53" t="s">
        <v>164</v>
      </c>
      <c r="AN4" s="53" t="s">
        <v>165</v>
      </c>
      <c r="AO4" s="53" t="s">
        <v>166</v>
      </c>
      <c r="AP4" s="53" t="s">
        <v>167</v>
      </c>
      <c r="AQ4" s="254"/>
      <c r="AR4" s="53" t="s">
        <v>164</v>
      </c>
      <c r="AS4" s="53" t="s">
        <v>165</v>
      </c>
      <c r="AT4" s="53" t="s">
        <v>166</v>
      </c>
      <c r="AU4" s="53" t="s">
        <v>167</v>
      </c>
      <c r="AV4" s="254"/>
      <c r="AW4" s="53" t="s">
        <v>164</v>
      </c>
      <c r="AX4" s="53" t="s">
        <v>165</v>
      </c>
      <c r="AY4" s="53" t="s">
        <v>166</v>
      </c>
      <c r="AZ4" s="53" t="s">
        <v>167</v>
      </c>
      <c r="BA4" s="254"/>
      <c r="BB4" s="53" t="s">
        <v>164</v>
      </c>
      <c r="BC4" s="53" t="s">
        <v>165</v>
      </c>
      <c r="BD4" s="53" t="s">
        <v>166</v>
      </c>
      <c r="BE4" s="53" t="s">
        <v>167</v>
      </c>
      <c r="BF4" s="254"/>
      <c r="BG4" s="53" t="s">
        <v>164</v>
      </c>
      <c r="BH4" s="53" t="s">
        <v>165</v>
      </c>
      <c r="BI4" s="53" t="s">
        <v>166</v>
      </c>
      <c r="BJ4" s="53" t="s">
        <v>167</v>
      </c>
      <c r="BK4" s="254"/>
    </row>
    <row r="5" spans="1:63">
      <c r="A5" s="54" t="s">
        <v>168</v>
      </c>
      <c r="B5" s="55" t="s">
        <v>162</v>
      </c>
      <c r="C5" s="56">
        <v>377</v>
      </c>
      <c r="D5" s="56">
        <v>497</v>
      </c>
      <c r="E5" s="56">
        <v>496</v>
      </c>
      <c r="F5" s="56">
        <v>431</v>
      </c>
      <c r="G5" s="56">
        <v>1801</v>
      </c>
      <c r="H5" s="56">
        <v>1227</v>
      </c>
      <c r="I5" s="56">
        <v>1499</v>
      </c>
      <c r="J5" s="56">
        <v>1884</v>
      </c>
      <c r="K5" s="56">
        <v>1545</v>
      </c>
      <c r="L5" s="56">
        <f>SUM(H5:K5)</f>
        <v>6155</v>
      </c>
      <c r="M5" s="56">
        <v>363</v>
      </c>
      <c r="N5" s="56">
        <v>392</v>
      </c>
      <c r="O5" s="56">
        <v>324</v>
      </c>
      <c r="P5" s="56">
        <v>387</v>
      </c>
      <c r="Q5" s="56">
        <v>1466</v>
      </c>
      <c r="R5" s="56" t="s">
        <v>58</v>
      </c>
      <c r="S5" s="56">
        <f>C5</f>
        <v>377</v>
      </c>
      <c r="T5" s="56">
        <f t="shared" ref="T5:V5" si="0">D5</f>
        <v>497</v>
      </c>
      <c r="U5" s="56">
        <f t="shared" si="0"/>
        <v>496</v>
      </c>
      <c r="V5" s="56">
        <f t="shared" si="0"/>
        <v>431</v>
      </c>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row>
    <row r="6" spans="1:63">
      <c r="A6" s="54" t="s">
        <v>169</v>
      </c>
      <c r="B6" s="55" t="s">
        <v>162</v>
      </c>
      <c r="C6" s="56">
        <v>671</v>
      </c>
      <c r="D6" s="56">
        <v>795</v>
      </c>
      <c r="E6" s="56">
        <v>823</v>
      </c>
      <c r="F6" s="56">
        <v>733</v>
      </c>
      <c r="G6" s="56">
        <v>3022</v>
      </c>
      <c r="H6" s="56">
        <v>1431</v>
      </c>
      <c r="I6" s="56">
        <v>1737</v>
      </c>
      <c r="J6" s="56">
        <v>2119</v>
      </c>
      <c r="K6" s="56">
        <v>1777</v>
      </c>
      <c r="L6" s="56">
        <f t="shared" ref="L6:L7" si="1">SUM(H6:K6)</f>
        <v>7064</v>
      </c>
      <c r="M6" s="56">
        <v>488</v>
      </c>
      <c r="N6" s="56">
        <v>536</v>
      </c>
      <c r="O6" s="56">
        <v>453</v>
      </c>
      <c r="P6" s="56">
        <v>528</v>
      </c>
      <c r="Q6" s="56">
        <v>2005</v>
      </c>
      <c r="R6" s="56" t="s">
        <v>58</v>
      </c>
      <c r="S6" s="56">
        <f>C6</f>
        <v>671</v>
      </c>
      <c r="T6" s="56">
        <f t="shared" ref="T6:V6" si="2">D6</f>
        <v>795</v>
      </c>
      <c r="U6" s="56">
        <f t="shared" si="2"/>
        <v>823</v>
      </c>
      <c r="V6" s="56">
        <f t="shared" si="2"/>
        <v>733</v>
      </c>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row>
    <row r="7" spans="1:63" ht="28">
      <c r="A7" s="57" t="s">
        <v>170</v>
      </c>
      <c r="B7" s="55" t="s">
        <v>162</v>
      </c>
      <c r="C7" s="56">
        <v>2809</v>
      </c>
      <c r="D7" s="56">
        <v>3273</v>
      </c>
      <c r="E7" s="56">
        <v>3433</v>
      </c>
      <c r="F7" s="56">
        <v>2852</v>
      </c>
      <c r="G7" s="56">
        <v>12367</v>
      </c>
      <c r="H7" s="56">
        <v>3564</v>
      </c>
      <c r="I7" s="56">
        <v>4296</v>
      </c>
      <c r="J7" s="56">
        <v>4770</v>
      </c>
      <c r="K7" s="56">
        <v>4164</v>
      </c>
      <c r="L7" s="56">
        <f t="shared" si="1"/>
        <v>16794</v>
      </c>
      <c r="M7" s="56">
        <v>2118</v>
      </c>
      <c r="N7" s="56">
        <v>2357</v>
      </c>
      <c r="O7" s="56">
        <v>2288</v>
      </c>
      <c r="P7" s="56">
        <v>2240</v>
      </c>
      <c r="Q7" s="56">
        <v>9003</v>
      </c>
      <c r="R7" s="56" t="s">
        <v>58</v>
      </c>
      <c r="S7" s="56">
        <f>C7</f>
        <v>2809</v>
      </c>
      <c r="T7" s="56">
        <f t="shared" ref="T7:V7" si="3">D7</f>
        <v>3273</v>
      </c>
      <c r="U7" s="56">
        <f t="shared" si="3"/>
        <v>3433</v>
      </c>
      <c r="V7" s="56">
        <f t="shared" si="3"/>
        <v>2852</v>
      </c>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row>
    <row r="8" spans="1:63">
      <c r="R8" s="72" t="s">
        <v>59</v>
      </c>
      <c r="S8" s="79">
        <f>H7</f>
        <v>3564</v>
      </c>
      <c r="T8" s="79">
        <f t="shared" ref="T8:V8" si="4">I7</f>
        <v>4296</v>
      </c>
      <c r="U8" s="79">
        <f t="shared" si="4"/>
        <v>4770</v>
      </c>
      <c r="V8" s="79">
        <f t="shared" si="4"/>
        <v>4164</v>
      </c>
    </row>
    <row r="9" spans="1:63">
      <c r="A9" s="255"/>
      <c r="B9" s="256"/>
      <c r="C9" s="256"/>
      <c r="D9" s="256"/>
      <c r="E9" s="256"/>
      <c r="F9" s="256"/>
      <c r="G9" s="256"/>
      <c r="H9" s="69"/>
      <c r="I9" s="69"/>
      <c r="J9" s="69"/>
      <c r="K9" s="69"/>
      <c r="R9" s="72" t="s">
        <v>60</v>
      </c>
      <c r="S9" s="79">
        <f>M7</f>
        <v>2118</v>
      </c>
      <c r="T9" s="79">
        <f t="shared" ref="T9:V9" si="5">N7</f>
        <v>2357</v>
      </c>
      <c r="U9" s="79">
        <f t="shared" si="5"/>
        <v>2288</v>
      </c>
      <c r="V9" s="79">
        <f t="shared" si="5"/>
        <v>2240</v>
      </c>
    </row>
    <row r="11" spans="1:63">
      <c r="A11" s="259" t="s">
        <v>217</v>
      </c>
      <c r="B11" s="256"/>
      <c r="C11" s="256"/>
      <c r="D11" s="256"/>
      <c r="E11" s="256"/>
      <c r="F11" s="256"/>
      <c r="G11" s="256"/>
      <c r="H11" s="69"/>
      <c r="I11" s="69"/>
      <c r="J11" s="69"/>
      <c r="K11" s="69"/>
    </row>
    <row r="12" spans="1:63">
      <c r="E12" s="66" t="s">
        <v>58</v>
      </c>
      <c r="H12" s="253" t="str">
        <f>Table_4.0_Information!$A$5</f>
        <v>Kentucky</v>
      </c>
      <c r="I12" s="253"/>
      <c r="J12" s="253"/>
      <c r="K12" s="253"/>
      <c r="L12" s="253"/>
      <c r="M12" s="253" t="str">
        <f>Table_4.0_Information!$A$6</f>
        <v>New Mexico</v>
      </c>
      <c r="N12" s="253"/>
      <c r="O12" s="253"/>
      <c r="P12" s="253"/>
      <c r="Q12" s="253"/>
      <c r="R12" s="71"/>
      <c r="S12" s="253" t="str">
        <f>Table_4.0_Information!$A$7</f>
        <v>4 add state in table 0</v>
      </c>
      <c r="T12" s="253"/>
      <c r="U12" s="253"/>
      <c r="V12" s="253"/>
      <c r="W12" s="253"/>
      <c r="X12" s="253" t="str">
        <f>Table_4.0_Information!$A$8</f>
        <v>5 add state in table 0</v>
      </c>
      <c r="Y12" s="253"/>
      <c r="Z12" s="253"/>
      <c r="AA12" s="253"/>
      <c r="AB12" s="253"/>
      <c r="AC12" s="253" t="str">
        <f>Table_4.0_Information!$A$9</f>
        <v>6 add state in table 0</v>
      </c>
      <c r="AD12" s="253"/>
      <c r="AE12" s="253"/>
      <c r="AF12" s="253"/>
      <c r="AG12" s="253"/>
      <c r="AH12" s="253" t="str">
        <f>Table_4.0_Information!$A$10</f>
        <v>7 add state in table 0</v>
      </c>
      <c r="AI12" s="253"/>
      <c r="AJ12" s="253"/>
      <c r="AK12" s="253"/>
      <c r="AL12" s="253"/>
      <c r="AM12" s="253" t="str">
        <f>Table_4.0_Information!$A$11</f>
        <v>8 add state in table 0</v>
      </c>
      <c r="AN12" s="253"/>
      <c r="AO12" s="253"/>
      <c r="AP12" s="253"/>
      <c r="AQ12" s="253"/>
      <c r="AR12" s="253" t="str">
        <f>Table_4.0_Information!$A$12</f>
        <v>9 add state in table 0</v>
      </c>
      <c r="AS12" s="253"/>
      <c r="AT12" s="253"/>
      <c r="AU12" s="253"/>
      <c r="AV12" s="253"/>
      <c r="AW12" s="253" t="str">
        <f>Table_4.0_Information!$A$13</f>
        <v>10 add state in table 0</v>
      </c>
      <c r="AX12" s="253"/>
      <c r="AY12" s="253"/>
      <c r="AZ12" s="253"/>
      <c r="BA12" s="253"/>
      <c r="BB12" s="253" t="str">
        <f>Table_4.0_Information!$A$14</f>
        <v>11 add state in table 0</v>
      </c>
      <c r="BC12" s="253"/>
      <c r="BD12" s="253"/>
      <c r="BE12" s="253"/>
      <c r="BF12" s="253"/>
      <c r="BG12" s="253" t="str">
        <f>Table_4.0_Information!$A$15</f>
        <v>12 add state in table 0</v>
      </c>
      <c r="BH12" s="253"/>
      <c r="BI12" s="253"/>
      <c r="BJ12" s="253"/>
      <c r="BK12" s="253"/>
    </row>
    <row r="13" spans="1:63">
      <c r="A13" s="258" t="s">
        <v>162</v>
      </c>
      <c r="B13" s="258"/>
      <c r="C13" s="254" t="s">
        <v>163</v>
      </c>
      <c r="D13" s="254"/>
      <c r="E13" s="254"/>
      <c r="F13" s="254"/>
      <c r="G13" s="254" t="s">
        <v>80</v>
      </c>
      <c r="H13" s="64" t="s">
        <v>163</v>
      </c>
      <c r="I13" s="64"/>
      <c r="J13" s="64"/>
      <c r="K13" s="64"/>
      <c r="L13" s="254" t="s">
        <v>80</v>
      </c>
      <c r="M13" s="254" t="s">
        <v>163</v>
      </c>
      <c r="N13" s="254"/>
      <c r="O13" s="254"/>
      <c r="P13" s="254"/>
      <c r="Q13" s="254" t="s">
        <v>80</v>
      </c>
      <c r="R13" s="70"/>
      <c r="S13" s="254" t="s">
        <v>163</v>
      </c>
      <c r="T13" s="254"/>
      <c r="U13" s="254"/>
      <c r="V13" s="254"/>
      <c r="W13" s="254" t="s">
        <v>80</v>
      </c>
      <c r="X13" s="254" t="s">
        <v>163</v>
      </c>
      <c r="Y13" s="254"/>
      <c r="Z13" s="254"/>
      <c r="AA13" s="254"/>
      <c r="AB13" s="254" t="s">
        <v>80</v>
      </c>
      <c r="AC13" s="254" t="s">
        <v>163</v>
      </c>
      <c r="AD13" s="254"/>
      <c r="AE13" s="254"/>
      <c r="AF13" s="254"/>
      <c r="AG13" s="254" t="s">
        <v>80</v>
      </c>
      <c r="AH13" s="254" t="s">
        <v>163</v>
      </c>
      <c r="AI13" s="254"/>
      <c r="AJ13" s="254"/>
      <c r="AK13" s="254"/>
      <c r="AL13" s="254" t="s">
        <v>80</v>
      </c>
      <c r="AM13" s="254" t="s">
        <v>163</v>
      </c>
      <c r="AN13" s="254"/>
      <c r="AO13" s="254"/>
      <c r="AP13" s="254"/>
      <c r="AQ13" s="254" t="s">
        <v>80</v>
      </c>
      <c r="AR13" s="254" t="s">
        <v>163</v>
      </c>
      <c r="AS13" s="254"/>
      <c r="AT13" s="254"/>
      <c r="AU13" s="254"/>
      <c r="AV13" s="254" t="s">
        <v>80</v>
      </c>
      <c r="AW13" s="254" t="s">
        <v>163</v>
      </c>
      <c r="AX13" s="254"/>
      <c r="AY13" s="254"/>
      <c r="AZ13" s="254"/>
      <c r="BA13" s="254" t="s">
        <v>80</v>
      </c>
      <c r="BB13" s="254" t="s">
        <v>163</v>
      </c>
      <c r="BC13" s="254"/>
      <c r="BD13" s="254"/>
      <c r="BE13" s="254"/>
      <c r="BF13" s="254" t="s">
        <v>80</v>
      </c>
      <c r="BG13" s="254" t="s">
        <v>163</v>
      </c>
      <c r="BH13" s="254"/>
      <c r="BI13" s="254"/>
      <c r="BJ13" s="254"/>
      <c r="BK13" s="254" t="s">
        <v>80</v>
      </c>
    </row>
    <row r="14" spans="1:63">
      <c r="A14" s="258"/>
      <c r="B14" s="258"/>
      <c r="C14" s="53" t="s">
        <v>164</v>
      </c>
      <c r="D14" s="53" t="s">
        <v>165</v>
      </c>
      <c r="E14" s="53" t="s">
        <v>166</v>
      </c>
      <c r="F14" s="53" t="s">
        <v>167</v>
      </c>
      <c r="G14" s="254"/>
      <c r="H14" s="53" t="s">
        <v>164</v>
      </c>
      <c r="I14" s="53" t="s">
        <v>165</v>
      </c>
      <c r="J14" s="53" t="s">
        <v>166</v>
      </c>
      <c r="K14" s="53" t="s">
        <v>167</v>
      </c>
      <c r="L14" s="254"/>
      <c r="M14" s="53" t="s">
        <v>164</v>
      </c>
      <c r="N14" s="53" t="s">
        <v>165</v>
      </c>
      <c r="O14" s="53" t="s">
        <v>166</v>
      </c>
      <c r="P14" s="53" t="s">
        <v>167</v>
      </c>
      <c r="Q14" s="254"/>
      <c r="R14" s="70"/>
      <c r="S14" s="53" t="s">
        <v>164</v>
      </c>
      <c r="T14" s="53" t="s">
        <v>165</v>
      </c>
      <c r="U14" s="53" t="s">
        <v>166</v>
      </c>
      <c r="V14" s="53" t="s">
        <v>167</v>
      </c>
      <c r="W14" s="254"/>
      <c r="X14" s="53" t="s">
        <v>164</v>
      </c>
      <c r="Y14" s="53" t="s">
        <v>165</v>
      </c>
      <c r="Z14" s="53" t="s">
        <v>166</v>
      </c>
      <c r="AA14" s="53" t="s">
        <v>167</v>
      </c>
      <c r="AB14" s="254"/>
      <c r="AC14" s="53" t="s">
        <v>164</v>
      </c>
      <c r="AD14" s="53" t="s">
        <v>165</v>
      </c>
      <c r="AE14" s="53" t="s">
        <v>166</v>
      </c>
      <c r="AF14" s="53" t="s">
        <v>167</v>
      </c>
      <c r="AG14" s="254"/>
      <c r="AH14" s="53" t="s">
        <v>164</v>
      </c>
      <c r="AI14" s="53" t="s">
        <v>165</v>
      </c>
      <c r="AJ14" s="53" t="s">
        <v>166</v>
      </c>
      <c r="AK14" s="53" t="s">
        <v>167</v>
      </c>
      <c r="AL14" s="254"/>
      <c r="AM14" s="53" t="s">
        <v>164</v>
      </c>
      <c r="AN14" s="53" t="s">
        <v>165</v>
      </c>
      <c r="AO14" s="53" t="s">
        <v>166</v>
      </c>
      <c r="AP14" s="53" t="s">
        <v>167</v>
      </c>
      <c r="AQ14" s="254"/>
      <c r="AR14" s="53" t="s">
        <v>164</v>
      </c>
      <c r="AS14" s="53" t="s">
        <v>165</v>
      </c>
      <c r="AT14" s="53" t="s">
        <v>166</v>
      </c>
      <c r="AU14" s="53" t="s">
        <v>167</v>
      </c>
      <c r="AV14" s="254"/>
      <c r="AW14" s="53" t="s">
        <v>164</v>
      </c>
      <c r="AX14" s="53" t="s">
        <v>165</v>
      </c>
      <c r="AY14" s="53" t="s">
        <v>166</v>
      </c>
      <c r="AZ14" s="53" t="s">
        <v>167</v>
      </c>
      <c r="BA14" s="254"/>
      <c r="BB14" s="53" t="s">
        <v>164</v>
      </c>
      <c r="BC14" s="53" t="s">
        <v>165</v>
      </c>
      <c r="BD14" s="53" t="s">
        <v>166</v>
      </c>
      <c r="BE14" s="53" t="s">
        <v>167</v>
      </c>
      <c r="BF14" s="254"/>
      <c r="BG14" s="53" t="s">
        <v>164</v>
      </c>
      <c r="BH14" s="53" t="s">
        <v>165</v>
      </c>
      <c r="BI14" s="53" t="s">
        <v>166</v>
      </c>
      <c r="BJ14" s="53" t="s">
        <v>167</v>
      </c>
      <c r="BK14" s="254"/>
    </row>
    <row r="15" spans="1:63">
      <c r="A15" s="54" t="s">
        <v>171</v>
      </c>
      <c r="B15" s="55" t="s">
        <v>162</v>
      </c>
      <c r="C15" s="56">
        <v>223</v>
      </c>
      <c r="D15" s="56">
        <v>297</v>
      </c>
      <c r="E15" s="56">
        <v>274</v>
      </c>
      <c r="F15" s="56">
        <v>238</v>
      </c>
      <c r="G15" s="56">
        <v>1032</v>
      </c>
      <c r="H15" s="56">
        <v>339</v>
      </c>
      <c r="I15" s="56">
        <v>374</v>
      </c>
      <c r="J15" s="56">
        <v>456</v>
      </c>
      <c r="K15" s="56">
        <v>385</v>
      </c>
      <c r="L15" s="56">
        <f>SUM(H15:K15)</f>
        <v>1554</v>
      </c>
      <c r="M15" s="56">
        <v>210</v>
      </c>
      <c r="N15" s="56">
        <v>203</v>
      </c>
      <c r="O15" s="56">
        <v>174</v>
      </c>
      <c r="P15" s="56">
        <v>205</v>
      </c>
      <c r="Q15" s="56">
        <v>792</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row>
    <row r="16" spans="1:63">
      <c r="A16" s="54" t="s">
        <v>172</v>
      </c>
      <c r="B16" s="55" t="s">
        <v>162</v>
      </c>
      <c r="C16" s="56">
        <v>486</v>
      </c>
      <c r="D16" s="56">
        <v>556</v>
      </c>
      <c r="E16" s="56">
        <v>557</v>
      </c>
      <c r="F16" s="56">
        <v>508</v>
      </c>
      <c r="G16" s="56">
        <v>2107</v>
      </c>
      <c r="H16" s="56">
        <v>495</v>
      </c>
      <c r="I16" s="56">
        <v>565</v>
      </c>
      <c r="J16" s="56">
        <v>656</v>
      </c>
      <c r="K16" s="56">
        <v>579</v>
      </c>
      <c r="L16" s="56">
        <f t="shared" ref="L16:L20" si="6">SUM(H16:K16)</f>
        <v>2295</v>
      </c>
      <c r="M16" s="56">
        <v>306</v>
      </c>
      <c r="N16" s="56">
        <v>311</v>
      </c>
      <c r="O16" s="56">
        <v>266</v>
      </c>
      <c r="P16" s="56">
        <v>321</v>
      </c>
      <c r="Q16" s="56">
        <v>1204</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row>
    <row r="17" spans="1:63">
      <c r="A17" s="54" t="s">
        <v>173</v>
      </c>
      <c r="B17" s="55" t="s">
        <v>162</v>
      </c>
      <c r="C17" s="56">
        <v>1</v>
      </c>
      <c r="D17" s="56">
        <v>3</v>
      </c>
      <c r="E17" s="56">
        <v>2</v>
      </c>
      <c r="F17" s="56">
        <v>2</v>
      </c>
      <c r="G17" s="56">
        <v>8</v>
      </c>
      <c r="H17" s="56">
        <v>12</v>
      </c>
      <c r="I17" s="56" t="s">
        <v>255</v>
      </c>
      <c r="J17" s="56">
        <v>7</v>
      </c>
      <c r="K17" s="56">
        <v>8</v>
      </c>
      <c r="L17" s="56">
        <f t="shared" si="6"/>
        <v>27</v>
      </c>
      <c r="M17" s="56">
        <v>4</v>
      </c>
      <c r="N17" s="56">
        <v>3</v>
      </c>
      <c r="O17" s="56">
        <v>5</v>
      </c>
      <c r="P17" s="56">
        <v>4</v>
      </c>
      <c r="Q17" s="56">
        <v>16</v>
      </c>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row>
    <row r="18" spans="1:63">
      <c r="A18" s="54" t="s">
        <v>174</v>
      </c>
      <c r="B18" s="55" t="s">
        <v>162</v>
      </c>
      <c r="C18" s="56">
        <v>1</v>
      </c>
      <c r="D18" s="56">
        <v>3</v>
      </c>
      <c r="E18" s="56">
        <v>2</v>
      </c>
      <c r="F18" s="56">
        <v>2</v>
      </c>
      <c r="G18" s="56">
        <v>8</v>
      </c>
      <c r="H18" s="56">
        <v>12</v>
      </c>
      <c r="I18" s="56">
        <v>5</v>
      </c>
      <c r="J18" s="56">
        <v>8</v>
      </c>
      <c r="K18" s="56">
        <v>8</v>
      </c>
      <c r="L18" s="56">
        <f t="shared" si="6"/>
        <v>33</v>
      </c>
      <c r="M18" s="56">
        <v>4</v>
      </c>
      <c r="N18" s="56">
        <v>3</v>
      </c>
      <c r="O18" s="56">
        <v>5</v>
      </c>
      <c r="P18" s="56">
        <v>4</v>
      </c>
      <c r="Q18" s="56">
        <v>16</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row>
    <row r="19" spans="1:63">
      <c r="A19" s="54" t="s">
        <v>175</v>
      </c>
      <c r="B19" s="55" t="s">
        <v>162</v>
      </c>
      <c r="C19" s="56">
        <v>153</v>
      </c>
      <c r="D19" s="56">
        <v>197</v>
      </c>
      <c r="E19" s="56">
        <v>220</v>
      </c>
      <c r="F19" s="56">
        <v>191</v>
      </c>
      <c r="G19" s="56">
        <v>761</v>
      </c>
      <c r="H19" s="56">
        <v>876</v>
      </c>
      <c r="I19" s="56">
        <v>1121</v>
      </c>
      <c r="J19" s="56">
        <v>1421</v>
      </c>
      <c r="K19" s="56">
        <v>1152</v>
      </c>
      <c r="L19" s="56">
        <f t="shared" si="6"/>
        <v>4570</v>
      </c>
      <c r="M19" s="56">
        <v>149</v>
      </c>
      <c r="N19" s="56">
        <v>186</v>
      </c>
      <c r="O19" s="56">
        <v>145</v>
      </c>
      <c r="P19" s="56">
        <v>178</v>
      </c>
      <c r="Q19" s="56">
        <v>658</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row>
    <row r="20" spans="1:63">
      <c r="A20" s="54" t="s">
        <v>176</v>
      </c>
      <c r="B20" s="55" t="s">
        <v>162</v>
      </c>
      <c r="C20" s="56">
        <v>153</v>
      </c>
      <c r="D20" s="56">
        <v>197</v>
      </c>
      <c r="E20" s="56">
        <v>220</v>
      </c>
      <c r="F20" s="56">
        <v>191</v>
      </c>
      <c r="G20" s="56">
        <v>761</v>
      </c>
      <c r="H20" s="56">
        <v>876</v>
      </c>
      <c r="I20" s="56">
        <v>1120</v>
      </c>
      <c r="J20" s="56">
        <v>1420</v>
      </c>
      <c r="K20" s="56">
        <v>1152</v>
      </c>
      <c r="L20" s="56">
        <f t="shared" si="6"/>
        <v>4568</v>
      </c>
      <c r="M20" s="56">
        <v>149</v>
      </c>
      <c r="N20" s="56">
        <v>186</v>
      </c>
      <c r="O20" s="56">
        <v>145</v>
      </c>
      <c r="P20" s="56">
        <v>178</v>
      </c>
      <c r="Q20" s="56">
        <v>658</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row>
    <row r="21" spans="1:63">
      <c r="C21" s="65" t="s">
        <v>58</v>
      </c>
    </row>
    <row r="22" spans="1:63">
      <c r="A22" s="255"/>
      <c r="B22" s="256"/>
      <c r="C22" s="256"/>
      <c r="D22" s="256"/>
      <c r="E22" s="256"/>
      <c r="F22" s="256"/>
      <c r="G22" s="256"/>
      <c r="H22" s="69"/>
      <c r="I22" s="69"/>
      <c r="J22" s="69"/>
      <c r="K22" s="69"/>
    </row>
    <row r="24" spans="1:63">
      <c r="A24" s="257" t="s">
        <v>218</v>
      </c>
      <c r="B24" s="256"/>
      <c r="C24" s="256"/>
      <c r="D24" s="256"/>
      <c r="E24" s="256"/>
      <c r="F24" s="256"/>
      <c r="G24" s="256"/>
      <c r="H24" s="69"/>
      <c r="I24" s="69"/>
      <c r="J24" s="69"/>
      <c r="K24" s="69"/>
    </row>
    <row r="25" spans="1:63">
      <c r="E25" s="66" t="s">
        <v>58</v>
      </c>
      <c r="H25" s="253" t="str">
        <f>Table_4.0_Information!$A$5</f>
        <v>Kentucky</v>
      </c>
      <c r="I25" s="253"/>
      <c r="J25" s="253"/>
      <c r="K25" s="253"/>
      <c r="L25" s="253"/>
      <c r="M25" s="253" t="str">
        <f>Table_4.0_Information!$A$6</f>
        <v>New Mexico</v>
      </c>
      <c r="N25" s="253"/>
      <c r="O25" s="253"/>
      <c r="P25" s="253"/>
      <c r="Q25" s="253"/>
      <c r="R25" s="71"/>
      <c r="S25" s="253" t="str">
        <f>Table_4.0_Information!$A$7</f>
        <v>4 add state in table 0</v>
      </c>
      <c r="T25" s="253"/>
      <c r="U25" s="253"/>
      <c r="V25" s="253"/>
      <c r="W25" s="253"/>
      <c r="X25" s="253" t="str">
        <f>Table_4.0_Information!$A$8</f>
        <v>5 add state in table 0</v>
      </c>
      <c r="Y25" s="253"/>
      <c r="Z25" s="253"/>
      <c r="AA25" s="253"/>
      <c r="AB25" s="253"/>
      <c r="AC25" s="253" t="str">
        <f>Table_4.0_Information!$A$9</f>
        <v>6 add state in table 0</v>
      </c>
      <c r="AD25" s="253"/>
      <c r="AE25" s="253"/>
      <c r="AF25" s="253"/>
      <c r="AG25" s="253"/>
      <c r="AH25" s="253" t="str">
        <f>Table_4.0_Information!$A$10</f>
        <v>7 add state in table 0</v>
      </c>
      <c r="AI25" s="253"/>
      <c r="AJ25" s="253"/>
      <c r="AK25" s="253"/>
      <c r="AL25" s="253"/>
      <c r="AM25" s="253" t="str">
        <f>Table_4.0_Information!$A$11</f>
        <v>8 add state in table 0</v>
      </c>
      <c r="AN25" s="253"/>
      <c r="AO25" s="253"/>
      <c r="AP25" s="253"/>
      <c r="AQ25" s="253"/>
      <c r="AR25" s="253" t="str">
        <f>Table_4.0_Information!$A$12</f>
        <v>9 add state in table 0</v>
      </c>
      <c r="AS25" s="253"/>
      <c r="AT25" s="253"/>
      <c r="AU25" s="253"/>
      <c r="AV25" s="253"/>
      <c r="AW25" s="253" t="str">
        <f>Table_4.0_Information!$A$13</f>
        <v>10 add state in table 0</v>
      </c>
      <c r="AX25" s="253"/>
      <c r="AY25" s="253"/>
      <c r="AZ25" s="253"/>
      <c r="BA25" s="253"/>
      <c r="BB25" s="253" t="str">
        <f>Table_4.0_Information!$A$14</f>
        <v>11 add state in table 0</v>
      </c>
      <c r="BC25" s="253"/>
      <c r="BD25" s="253"/>
      <c r="BE25" s="253"/>
      <c r="BF25" s="253"/>
      <c r="BG25" s="253" t="str">
        <f>Table_4.0_Information!$A$15</f>
        <v>12 add state in table 0</v>
      </c>
      <c r="BH25" s="253"/>
      <c r="BI25" s="253"/>
      <c r="BJ25" s="253"/>
      <c r="BK25" s="253"/>
    </row>
    <row r="26" spans="1:63">
      <c r="A26" s="258" t="s">
        <v>162</v>
      </c>
      <c r="B26" s="258"/>
      <c r="C26" s="254" t="s">
        <v>163</v>
      </c>
      <c r="D26" s="254"/>
      <c r="E26" s="254"/>
      <c r="F26" s="254"/>
      <c r="G26" s="254" t="s">
        <v>80</v>
      </c>
      <c r="H26" s="64" t="s">
        <v>163</v>
      </c>
      <c r="I26" s="64"/>
      <c r="J26" s="64"/>
      <c r="K26" s="64"/>
      <c r="L26" s="254" t="s">
        <v>80</v>
      </c>
      <c r="M26" s="254" t="s">
        <v>163</v>
      </c>
      <c r="N26" s="254"/>
      <c r="O26" s="254"/>
      <c r="P26" s="254"/>
      <c r="Q26" s="254" t="s">
        <v>80</v>
      </c>
      <c r="R26" s="70"/>
      <c r="S26" s="254" t="s">
        <v>163</v>
      </c>
      <c r="T26" s="254"/>
      <c r="U26" s="254"/>
      <c r="V26" s="254"/>
      <c r="W26" s="254" t="s">
        <v>80</v>
      </c>
      <c r="X26" s="254" t="s">
        <v>163</v>
      </c>
      <c r="Y26" s="254"/>
      <c r="Z26" s="254"/>
      <c r="AA26" s="254"/>
      <c r="AB26" s="254" t="s">
        <v>80</v>
      </c>
      <c r="AC26" s="254" t="s">
        <v>163</v>
      </c>
      <c r="AD26" s="254"/>
      <c r="AE26" s="254"/>
      <c r="AF26" s="254"/>
      <c r="AG26" s="254" t="s">
        <v>80</v>
      </c>
      <c r="AH26" s="254" t="s">
        <v>163</v>
      </c>
      <c r="AI26" s="254"/>
      <c r="AJ26" s="254"/>
      <c r="AK26" s="254"/>
      <c r="AL26" s="254" t="s">
        <v>80</v>
      </c>
      <c r="AM26" s="254" t="s">
        <v>163</v>
      </c>
      <c r="AN26" s="254"/>
      <c r="AO26" s="254"/>
      <c r="AP26" s="254"/>
      <c r="AQ26" s="254" t="s">
        <v>80</v>
      </c>
      <c r="AR26" s="254" t="s">
        <v>163</v>
      </c>
      <c r="AS26" s="254"/>
      <c r="AT26" s="254"/>
      <c r="AU26" s="254"/>
      <c r="AV26" s="254" t="s">
        <v>80</v>
      </c>
      <c r="AW26" s="254" t="s">
        <v>163</v>
      </c>
      <c r="AX26" s="254"/>
      <c r="AY26" s="254"/>
      <c r="AZ26" s="254"/>
      <c r="BA26" s="254" t="s">
        <v>80</v>
      </c>
      <c r="BB26" s="254" t="s">
        <v>163</v>
      </c>
      <c r="BC26" s="254"/>
      <c r="BD26" s="254"/>
      <c r="BE26" s="254"/>
      <c r="BF26" s="254" t="s">
        <v>80</v>
      </c>
      <c r="BG26" s="254" t="s">
        <v>163</v>
      </c>
      <c r="BH26" s="254"/>
      <c r="BI26" s="254"/>
      <c r="BJ26" s="254"/>
      <c r="BK26" s="254" t="s">
        <v>80</v>
      </c>
    </row>
    <row r="27" spans="1:63">
      <c r="A27" s="258"/>
      <c r="B27" s="258"/>
      <c r="C27" s="53" t="s">
        <v>164</v>
      </c>
      <c r="D27" s="53" t="s">
        <v>165</v>
      </c>
      <c r="E27" s="53" t="s">
        <v>166</v>
      </c>
      <c r="F27" s="53" t="s">
        <v>167</v>
      </c>
      <c r="G27" s="254"/>
      <c r="H27" s="53" t="s">
        <v>164</v>
      </c>
      <c r="I27" s="53" t="s">
        <v>165</v>
      </c>
      <c r="J27" s="53" t="s">
        <v>166</v>
      </c>
      <c r="K27" s="53" t="s">
        <v>167</v>
      </c>
      <c r="L27" s="254"/>
      <c r="M27" s="53" t="s">
        <v>164</v>
      </c>
      <c r="N27" s="53" t="s">
        <v>165</v>
      </c>
      <c r="O27" s="53" t="s">
        <v>166</v>
      </c>
      <c r="P27" s="53" t="s">
        <v>167</v>
      </c>
      <c r="Q27" s="254"/>
      <c r="R27" s="70"/>
      <c r="S27" s="53" t="s">
        <v>164</v>
      </c>
      <c r="T27" s="53" t="s">
        <v>165</v>
      </c>
      <c r="U27" s="53" t="s">
        <v>166</v>
      </c>
      <c r="V27" s="53" t="s">
        <v>167</v>
      </c>
      <c r="W27" s="254"/>
      <c r="X27" s="53" t="s">
        <v>164</v>
      </c>
      <c r="Y27" s="53" t="s">
        <v>165</v>
      </c>
      <c r="Z27" s="53" t="s">
        <v>166</v>
      </c>
      <c r="AA27" s="53" t="s">
        <v>167</v>
      </c>
      <c r="AB27" s="254"/>
      <c r="AC27" s="53" t="s">
        <v>164</v>
      </c>
      <c r="AD27" s="53" t="s">
        <v>165</v>
      </c>
      <c r="AE27" s="53" t="s">
        <v>166</v>
      </c>
      <c r="AF27" s="53" t="s">
        <v>167</v>
      </c>
      <c r="AG27" s="254"/>
      <c r="AH27" s="53" t="s">
        <v>164</v>
      </c>
      <c r="AI27" s="53" t="s">
        <v>165</v>
      </c>
      <c r="AJ27" s="53" t="s">
        <v>166</v>
      </c>
      <c r="AK27" s="53" t="s">
        <v>167</v>
      </c>
      <c r="AL27" s="254"/>
      <c r="AM27" s="53" t="s">
        <v>164</v>
      </c>
      <c r="AN27" s="53" t="s">
        <v>165</v>
      </c>
      <c r="AO27" s="53" t="s">
        <v>166</v>
      </c>
      <c r="AP27" s="53" t="s">
        <v>167</v>
      </c>
      <c r="AQ27" s="254"/>
      <c r="AR27" s="53" t="s">
        <v>164</v>
      </c>
      <c r="AS27" s="53" t="s">
        <v>165</v>
      </c>
      <c r="AT27" s="53" t="s">
        <v>166</v>
      </c>
      <c r="AU27" s="53" t="s">
        <v>167</v>
      </c>
      <c r="AV27" s="254"/>
      <c r="AW27" s="53" t="s">
        <v>164</v>
      </c>
      <c r="AX27" s="53" t="s">
        <v>165</v>
      </c>
      <c r="AY27" s="53" t="s">
        <v>166</v>
      </c>
      <c r="AZ27" s="53" t="s">
        <v>167</v>
      </c>
      <c r="BA27" s="254"/>
      <c r="BB27" s="53" t="s">
        <v>164</v>
      </c>
      <c r="BC27" s="53" t="s">
        <v>165</v>
      </c>
      <c r="BD27" s="53" t="s">
        <v>166</v>
      </c>
      <c r="BE27" s="53" t="s">
        <v>167</v>
      </c>
      <c r="BF27" s="254"/>
      <c r="BG27" s="53" t="s">
        <v>164</v>
      </c>
      <c r="BH27" s="53" t="s">
        <v>165</v>
      </c>
      <c r="BI27" s="53" t="s">
        <v>166</v>
      </c>
      <c r="BJ27" s="53" t="s">
        <v>167</v>
      </c>
      <c r="BK27" s="254"/>
    </row>
    <row r="28" spans="1:63">
      <c r="A28" s="54" t="s">
        <v>177</v>
      </c>
      <c r="B28" s="55" t="s">
        <v>162</v>
      </c>
      <c r="C28" s="56">
        <v>86</v>
      </c>
      <c r="D28" s="56">
        <v>72</v>
      </c>
      <c r="E28" s="56">
        <v>72</v>
      </c>
      <c r="F28" s="56">
        <v>63</v>
      </c>
      <c r="G28" s="56">
        <v>293</v>
      </c>
      <c r="H28" s="56">
        <v>69</v>
      </c>
      <c r="I28" s="56">
        <v>51</v>
      </c>
      <c r="J28" s="56">
        <v>55</v>
      </c>
      <c r="K28" s="56">
        <v>59</v>
      </c>
      <c r="L28" s="56">
        <f>SUM(H28:K28)</f>
        <v>234</v>
      </c>
      <c r="M28" s="56">
        <v>18</v>
      </c>
      <c r="N28" s="56">
        <v>14</v>
      </c>
      <c r="O28" s="56">
        <v>12</v>
      </c>
      <c r="P28" s="56">
        <v>24</v>
      </c>
      <c r="Q28" s="56">
        <v>68</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row>
    <row r="29" spans="1:63">
      <c r="A29" s="54" t="s">
        <v>178</v>
      </c>
      <c r="B29" s="55" t="s">
        <v>162</v>
      </c>
      <c r="C29" s="56">
        <v>128</v>
      </c>
      <c r="D29" s="56">
        <v>117</v>
      </c>
      <c r="E29" s="56">
        <v>118</v>
      </c>
      <c r="F29" s="56">
        <v>113</v>
      </c>
      <c r="G29" s="56">
        <v>476</v>
      </c>
      <c r="H29" s="56">
        <v>79</v>
      </c>
      <c r="I29" s="56">
        <v>57</v>
      </c>
      <c r="J29" s="56">
        <v>69</v>
      </c>
      <c r="K29" s="56">
        <v>72</v>
      </c>
      <c r="L29" s="56">
        <f t="shared" ref="L29:L30" si="7">SUM(H29:K29)</f>
        <v>277</v>
      </c>
      <c r="M29" s="56">
        <v>25</v>
      </c>
      <c r="N29" s="56">
        <v>22</v>
      </c>
      <c r="O29" s="56">
        <v>22</v>
      </c>
      <c r="P29" s="56">
        <v>39</v>
      </c>
      <c r="Q29" s="56">
        <v>108</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row>
    <row r="30" spans="1:63">
      <c r="A30" s="54" t="s">
        <v>179</v>
      </c>
      <c r="B30" s="55" t="s">
        <v>162</v>
      </c>
      <c r="C30" s="56">
        <v>4361</v>
      </c>
      <c r="D30" s="56">
        <v>5179</v>
      </c>
      <c r="E30" s="56">
        <v>4945</v>
      </c>
      <c r="F30" s="56">
        <v>3993</v>
      </c>
      <c r="G30" s="56">
        <v>18478</v>
      </c>
      <c r="H30" s="56">
        <v>2181</v>
      </c>
      <c r="I30" s="56">
        <v>2544</v>
      </c>
      <c r="J30" s="56">
        <v>3017</v>
      </c>
      <c r="K30" s="56">
        <v>2865</v>
      </c>
      <c r="L30" s="56">
        <f t="shared" si="7"/>
        <v>10607</v>
      </c>
      <c r="M30" s="56">
        <v>1320</v>
      </c>
      <c r="N30" s="56">
        <v>1436</v>
      </c>
      <c r="O30" s="56">
        <v>1348</v>
      </c>
      <c r="P30" s="56">
        <v>1327</v>
      </c>
      <c r="Q30" s="56">
        <v>5431</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row>
    <row r="32" spans="1:63">
      <c r="A32" s="255"/>
      <c r="B32" s="256"/>
      <c r="C32" s="256"/>
      <c r="D32" s="256"/>
      <c r="E32" s="256"/>
      <c r="F32" s="256"/>
      <c r="G32" s="256"/>
      <c r="H32" s="69"/>
      <c r="I32" s="69"/>
      <c r="J32" s="69"/>
      <c r="K32" s="69"/>
    </row>
    <row r="34" spans="1:63">
      <c r="A34" s="257" t="s">
        <v>219</v>
      </c>
      <c r="B34" s="256"/>
      <c r="C34" s="256"/>
      <c r="D34" s="256"/>
      <c r="E34" s="256"/>
      <c r="F34" s="256"/>
      <c r="G34" s="256"/>
      <c r="H34" s="69"/>
      <c r="I34" s="69"/>
      <c r="J34" s="69"/>
      <c r="K34" s="69"/>
    </row>
    <row r="35" spans="1:63">
      <c r="E35" s="66" t="s">
        <v>58</v>
      </c>
      <c r="H35" s="253" t="str">
        <f>Table_4.0_Information!$A$5</f>
        <v>Kentucky</v>
      </c>
      <c r="I35" s="253"/>
      <c r="J35" s="253"/>
      <c r="K35" s="253"/>
      <c r="L35" s="253"/>
      <c r="M35" s="253" t="str">
        <f>Table_4.0_Information!$A$6</f>
        <v>New Mexico</v>
      </c>
      <c r="N35" s="253"/>
      <c r="O35" s="253"/>
      <c r="P35" s="253"/>
      <c r="Q35" s="253"/>
      <c r="R35" s="71"/>
      <c r="S35" s="253" t="str">
        <f>Table_4.0_Information!$A$7</f>
        <v>4 add state in table 0</v>
      </c>
      <c r="T35" s="253"/>
      <c r="U35" s="253"/>
      <c r="V35" s="253"/>
      <c r="W35" s="253"/>
      <c r="X35" s="253" t="str">
        <f>Table_4.0_Information!$A$8</f>
        <v>5 add state in table 0</v>
      </c>
      <c r="Y35" s="253"/>
      <c r="Z35" s="253"/>
      <c r="AA35" s="253"/>
      <c r="AB35" s="253"/>
      <c r="AC35" s="253" t="str">
        <f>Table_4.0_Information!$A$9</f>
        <v>6 add state in table 0</v>
      </c>
      <c r="AD35" s="253"/>
      <c r="AE35" s="253"/>
      <c r="AF35" s="253"/>
      <c r="AG35" s="253"/>
      <c r="AH35" s="253" t="str">
        <f>Table_4.0_Information!$A$10</f>
        <v>7 add state in table 0</v>
      </c>
      <c r="AI35" s="253"/>
      <c r="AJ35" s="253"/>
      <c r="AK35" s="253"/>
      <c r="AL35" s="253"/>
      <c r="AM35" s="253" t="str">
        <f>Table_4.0_Information!$A$11</f>
        <v>8 add state in table 0</v>
      </c>
      <c r="AN35" s="253"/>
      <c r="AO35" s="253"/>
      <c r="AP35" s="253"/>
      <c r="AQ35" s="253"/>
      <c r="AR35" s="253" t="str">
        <f>Table_4.0_Information!$A$12</f>
        <v>9 add state in table 0</v>
      </c>
      <c r="AS35" s="253"/>
      <c r="AT35" s="253"/>
      <c r="AU35" s="253"/>
      <c r="AV35" s="253"/>
      <c r="AW35" s="253" t="str">
        <f>Table_4.0_Information!$A$13</f>
        <v>10 add state in table 0</v>
      </c>
      <c r="AX35" s="253"/>
      <c r="AY35" s="253"/>
      <c r="AZ35" s="253"/>
      <c r="BA35" s="253"/>
      <c r="BB35" s="253" t="str">
        <f>Table_4.0_Information!$A$14</f>
        <v>11 add state in table 0</v>
      </c>
      <c r="BC35" s="253"/>
      <c r="BD35" s="253"/>
      <c r="BE35" s="253"/>
      <c r="BF35" s="253"/>
      <c r="BG35" s="253" t="str">
        <f>Table_4.0_Information!$A$15</f>
        <v>12 add state in table 0</v>
      </c>
      <c r="BH35" s="253"/>
      <c r="BI35" s="253"/>
      <c r="BJ35" s="253"/>
      <c r="BK35" s="253"/>
    </row>
    <row r="36" spans="1:63">
      <c r="A36" s="258" t="s">
        <v>162</v>
      </c>
      <c r="B36" s="258"/>
      <c r="C36" s="254" t="s">
        <v>163</v>
      </c>
      <c r="D36" s="254"/>
      <c r="E36" s="254"/>
      <c r="F36" s="254"/>
      <c r="G36" s="254" t="s">
        <v>80</v>
      </c>
      <c r="H36" s="64" t="s">
        <v>163</v>
      </c>
      <c r="I36" s="64"/>
      <c r="J36" s="64"/>
      <c r="K36" s="64"/>
      <c r="L36" s="254" t="s">
        <v>80</v>
      </c>
      <c r="M36" s="254" t="s">
        <v>163</v>
      </c>
      <c r="N36" s="254"/>
      <c r="O36" s="254"/>
      <c r="P36" s="254"/>
      <c r="Q36" s="254" t="s">
        <v>80</v>
      </c>
      <c r="R36" s="70"/>
      <c r="S36" s="254" t="s">
        <v>163</v>
      </c>
      <c r="T36" s="254"/>
      <c r="U36" s="254"/>
      <c r="V36" s="254"/>
      <c r="W36" s="254" t="s">
        <v>80</v>
      </c>
      <c r="X36" s="254" t="s">
        <v>163</v>
      </c>
      <c r="Y36" s="254"/>
      <c r="Z36" s="254"/>
      <c r="AA36" s="254"/>
      <c r="AB36" s="254" t="s">
        <v>80</v>
      </c>
      <c r="AC36" s="254" t="s">
        <v>163</v>
      </c>
      <c r="AD36" s="254"/>
      <c r="AE36" s="254"/>
      <c r="AF36" s="254"/>
      <c r="AG36" s="254" t="s">
        <v>80</v>
      </c>
      <c r="AH36" s="254" t="s">
        <v>163</v>
      </c>
      <c r="AI36" s="254"/>
      <c r="AJ36" s="254"/>
      <c r="AK36" s="254"/>
      <c r="AL36" s="254" t="s">
        <v>80</v>
      </c>
      <c r="AM36" s="254" t="s">
        <v>163</v>
      </c>
      <c r="AN36" s="254"/>
      <c r="AO36" s="254"/>
      <c r="AP36" s="254"/>
      <c r="AQ36" s="254" t="s">
        <v>80</v>
      </c>
      <c r="AR36" s="254" t="s">
        <v>163</v>
      </c>
      <c r="AS36" s="254"/>
      <c r="AT36" s="254"/>
      <c r="AU36" s="254"/>
      <c r="AV36" s="254" t="s">
        <v>80</v>
      </c>
      <c r="AW36" s="254" t="s">
        <v>163</v>
      </c>
      <c r="AX36" s="254"/>
      <c r="AY36" s="254"/>
      <c r="AZ36" s="254"/>
      <c r="BA36" s="254" t="s">
        <v>80</v>
      </c>
      <c r="BB36" s="254" t="s">
        <v>163</v>
      </c>
      <c r="BC36" s="254"/>
      <c r="BD36" s="254"/>
      <c r="BE36" s="254"/>
      <c r="BF36" s="254" t="s">
        <v>80</v>
      </c>
      <c r="BG36" s="254" t="s">
        <v>163</v>
      </c>
      <c r="BH36" s="254"/>
      <c r="BI36" s="254"/>
      <c r="BJ36" s="254"/>
      <c r="BK36" s="254" t="s">
        <v>80</v>
      </c>
    </row>
    <row r="37" spans="1:63">
      <c r="A37" s="258"/>
      <c r="B37" s="258"/>
      <c r="C37" s="53" t="s">
        <v>164</v>
      </c>
      <c r="D37" s="53" t="s">
        <v>165</v>
      </c>
      <c r="E37" s="53" t="s">
        <v>166</v>
      </c>
      <c r="F37" s="53" t="s">
        <v>167</v>
      </c>
      <c r="G37" s="254"/>
      <c r="H37" s="53" t="s">
        <v>164</v>
      </c>
      <c r="I37" s="53" t="s">
        <v>165</v>
      </c>
      <c r="J37" s="53" t="s">
        <v>166</v>
      </c>
      <c r="K37" s="53" t="s">
        <v>167</v>
      </c>
      <c r="L37" s="254"/>
      <c r="M37" s="53" t="s">
        <v>164</v>
      </c>
      <c r="N37" s="53" t="s">
        <v>165</v>
      </c>
      <c r="O37" s="53" t="s">
        <v>166</v>
      </c>
      <c r="P37" s="53" t="s">
        <v>167</v>
      </c>
      <c r="Q37" s="254"/>
      <c r="R37" s="70"/>
      <c r="S37" s="53" t="s">
        <v>164</v>
      </c>
      <c r="T37" s="53" t="s">
        <v>165</v>
      </c>
      <c r="U37" s="53" t="s">
        <v>166</v>
      </c>
      <c r="V37" s="53" t="s">
        <v>167</v>
      </c>
      <c r="W37" s="254"/>
      <c r="X37" s="53" t="s">
        <v>164</v>
      </c>
      <c r="Y37" s="53" t="s">
        <v>165</v>
      </c>
      <c r="Z37" s="53" t="s">
        <v>166</v>
      </c>
      <c r="AA37" s="53" t="s">
        <v>167</v>
      </c>
      <c r="AB37" s="254"/>
      <c r="AC37" s="53" t="s">
        <v>164</v>
      </c>
      <c r="AD37" s="53" t="s">
        <v>165</v>
      </c>
      <c r="AE37" s="53" t="s">
        <v>166</v>
      </c>
      <c r="AF37" s="53" t="s">
        <v>167</v>
      </c>
      <c r="AG37" s="254"/>
      <c r="AH37" s="53" t="s">
        <v>164</v>
      </c>
      <c r="AI37" s="53" t="s">
        <v>165</v>
      </c>
      <c r="AJ37" s="53" t="s">
        <v>166</v>
      </c>
      <c r="AK37" s="53" t="s">
        <v>167</v>
      </c>
      <c r="AL37" s="254"/>
      <c r="AM37" s="53" t="s">
        <v>164</v>
      </c>
      <c r="AN37" s="53" t="s">
        <v>165</v>
      </c>
      <c r="AO37" s="53" t="s">
        <v>166</v>
      </c>
      <c r="AP37" s="53" t="s">
        <v>167</v>
      </c>
      <c r="AQ37" s="254"/>
      <c r="AR37" s="53" t="s">
        <v>164</v>
      </c>
      <c r="AS37" s="53" t="s">
        <v>165</v>
      </c>
      <c r="AT37" s="53" t="s">
        <v>166</v>
      </c>
      <c r="AU37" s="53" t="s">
        <v>167</v>
      </c>
      <c r="AV37" s="254"/>
      <c r="AW37" s="53" t="s">
        <v>164</v>
      </c>
      <c r="AX37" s="53" t="s">
        <v>165</v>
      </c>
      <c r="AY37" s="53" t="s">
        <v>166</v>
      </c>
      <c r="AZ37" s="53" t="s">
        <v>167</v>
      </c>
      <c r="BA37" s="254"/>
      <c r="BB37" s="53" t="s">
        <v>164</v>
      </c>
      <c r="BC37" s="53" t="s">
        <v>165</v>
      </c>
      <c r="BD37" s="53" t="s">
        <v>166</v>
      </c>
      <c r="BE37" s="53" t="s">
        <v>167</v>
      </c>
      <c r="BF37" s="254"/>
      <c r="BG37" s="53" t="s">
        <v>164</v>
      </c>
      <c r="BH37" s="53" t="s">
        <v>165</v>
      </c>
      <c r="BI37" s="53" t="s">
        <v>166</v>
      </c>
      <c r="BJ37" s="53" t="s">
        <v>167</v>
      </c>
      <c r="BK37" s="254"/>
    </row>
    <row r="38" spans="1:63">
      <c r="A38" s="54" t="s">
        <v>180</v>
      </c>
      <c r="B38" s="55" t="s">
        <v>162</v>
      </c>
      <c r="C38" s="56">
        <v>62</v>
      </c>
      <c r="D38" s="56">
        <v>57</v>
      </c>
      <c r="E38" s="56">
        <v>70</v>
      </c>
      <c r="F38" s="56">
        <v>55</v>
      </c>
      <c r="G38" s="56">
        <v>244</v>
      </c>
      <c r="H38" s="56">
        <v>90</v>
      </c>
      <c r="I38" s="56">
        <v>111</v>
      </c>
      <c r="J38" s="56">
        <v>119</v>
      </c>
      <c r="K38" s="56">
        <v>126</v>
      </c>
      <c r="L38" s="56">
        <f>SUM(H38:K38)</f>
        <v>446</v>
      </c>
      <c r="M38" s="56">
        <v>53</v>
      </c>
      <c r="N38" s="56">
        <v>56</v>
      </c>
      <c r="O38" s="56">
        <v>61</v>
      </c>
      <c r="P38" s="56">
        <v>55</v>
      </c>
      <c r="Q38" s="56">
        <v>225</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row>
    <row r="39" spans="1:63">
      <c r="A39" s="54" t="s">
        <v>181</v>
      </c>
      <c r="B39" s="55" t="s">
        <v>162</v>
      </c>
      <c r="C39" s="56">
        <v>76</v>
      </c>
      <c r="D39" s="56">
        <v>70</v>
      </c>
      <c r="E39" s="56">
        <v>86</v>
      </c>
      <c r="F39" s="56">
        <v>70</v>
      </c>
      <c r="G39" s="56">
        <v>302</v>
      </c>
      <c r="H39" s="56">
        <v>116</v>
      </c>
      <c r="I39" s="56">
        <v>134</v>
      </c>
      <c r="J39" s="56">
        <v>155</v>
      </c>
      <c r="K39" s="56">
        <v>152</v>
      </c>
      <c r="L39" s="56">
        <f t="shared" ref="L39:L40" si="8">SUM(H39:K39)</f>
        <v>557</v>
      </c>
      <c r="M39" s="56">
        <v>63</v>
      </c>
      <c r="N39" s="56">
        <v>67</v>
      </c>
      <c r="O39" s="56">
        <v>69</v>
      </c>
      <c r="P39" s="56">
        <v>65</v>
      </c>
      <c r="Q39" s="56">
        <v>264</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row>
    <row r="40" spans="1:63">
      <c r="A40" s="54" t="s">
        <v>182</v>
      </c>
      <c r="B40" s="55" t="s">
        <v>162</v>
      </c>
      <c r="C40" s="56">
        <v>76</v>
      </c>
      <c r="D40" s="56">
        <v>70</v>
      </c>
      <c r="E40" s="56">
        <v>86</v>
      </c>
      <c r="F40" s="56">
        <v>70</v>
      </c>
      <c r="G40" s="56">
        <v>302</v>
      </c>
      <c r="H40" s="56">
        <v>116</v>
      </c>
      <c r="I40" s="56">
        <v>134</v>
      </c>
      <c r="J40" s="56">
        <v>155</v>
      </c>
      <c r="K40" s="56">
        <v>152</v>
      </c>
      <c r="L40" s="56">
        <f t="shared" si="8"/>
        <v>557</v>
      </c>
      <c r="M40" s="56">
        <v>63</v>
      </c>
      <c r="N40" s="56">
        <v>67</v>
      </c>
      <c r="O40" s="56">
        <v>69</v>
      </c>
      <c r="P40" s="56">
        <v>65</v>
      </c>
      <c r="Q40" s="56">
        <v>264</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row>
    <row r="42" spans="1:63">
      <c r="A42" s="255"/>
      <c r="B42" s="256"/>
      <c r="C42" s="256"/>
      <c r="D42" s="256"/>
      <c r="E42" s="256"/>
      <c r="F42" s="256"/>
      <c r="G42" s="256"/>
      <c r="H42" s="69"/>
      <c r="I42" s="69"/>
      <c r="J42" s="69"/>
      <c r="K42" s="69"/>
    </row>
    <row r="44" spans="1:63">
      <c r="A44" s="257" t="s">
        <v>221</v>
      </c>
      <c r="B44" s="256"/>
      <c r="C44" s="256"/>
      <c r="D44" s="256"/>
      <c r="E44" s="256"/>
      <c r="F44" s="256"/>
      <c r="G44" s="256"/>
      <c r="H44" s="69"/>
      <c r="I44" s="69"/>
      <c r="J44" s="69"/>
      <c r="K44" s="69"/>
    </row>
    <row r="45" spans="1:63">
      <c r="E45" s="66" t="s">
        <v>58</v>
      </c>
      <c r="H45" s="253" t="str">
        <f>Table_4.0_Information!$A$5</f>
        <v>Kentucky</v>
      </c>
      <c r="I45" s="253"/>
      <c r="J45" s="253"/>
      <c r="K45" s="253"/>
      <c r="L45" s="253"/>
      <c r="M45" s="253" t="str">
        <f>Table_4.0_Information!$A$6</f>
        <v>New Mexico</v>
      </c>
      <c r="N45" s="253"/>
      <c r="O45" s="253"/>
      <c r="P45" s="253"/>
      <c r="Q45" s="253"/>
      <c r="R45" s="71"/>
      <c r="S45" s="253" t="str">
        <f>Table_4.0_Information!$A$7</f>
        <v>4 add state in table 0</v>
      </c>
      <c r="T45" s="253"/>
      <c r="U45" s="253"/>
      <c r="V45" s="253"/>
      <c r="W45" s="253"/>
      <c r="X45" s="253" t="str">
        <f>Table_4.0_Information!$A$8</f>
        <v>5 add state in table 0</v>
      </c>
      <c r="Y45" s="253"/>
      <c r="Z45" s="253"/>
      <c r="AA45" s="253"/>
      <c r="AB45" s="253"/>
      <c r="AC45" s="253" t="str">
        <f>Table_4.0_Information!$A$9</f>
        <v>6 add state in table 0</v>
      </c>
      <c r="AD45" s="253"/>
      <c r="AE45" s="253"/>
      <c r="AF45" s="253"/>
      <c r="AG45" s="253"/>
      <c r="AH45" s="253" t="str">
        <f>Table_4.0_Information!$A$10</f>
        <v>7 add state in table 0</v>
      </c>
      <c r="AI45" s="253"/>
      <c r="AJ45" s="253"/>
      <c r="AK45" s="253"/>
      <c r="AL45" s="253"/>
      <c r="AM45" s="253" t="str">
        <f>Table_4.0_Information!$A$11</f>
        <v>8 add state in table 0</v>
      </c>
      <c r="AN45" s="253"/>
      <c r="AO45" s="253"/>
      <c r="AP45" s="253"/>
      <c r="AQ45" s="253"/>
      <c r="AR45" s="253" t="str">
        <f>Table_4.0_Information!$A$12</f>
        <v>9 add state in table 0</v>
      </c>
      <c r="AS45" s="253"/>
      <c r="AT45" s="253"/>
      <c r="AU45" s="253"/>
      <c r="AV45" s="253"/>
      <c r="AW45" s="253" t="str">
        <f>Table_4.0_Information!$A$13</f>
        <v>10 add state in table 0</v>
      </c>
      <c r="AX45" s="253"/>
      <c r="AY45" s="253"/>
      <c r="AZ45" s="253"/>
      <c r="BA45" s="253"/>
      <c r="BB45" s="253" t="str">
        <f>Table_4.0_Information!$A$14</f>
        <v>11 add state in table 0</v>
      </c>
      <c r="BC45" s="253"/>
      <c r="BD45" s="253"/>
      <c r="BE45" s="253"/>
      <c r="BF45" s="253"/>
      <c r="BG45" s="253" t="str">
        <f>Table_4.0_Information!$A$15</f>
        <v>12 add state in table 0</v>
      </c>
      <c r="BH45" s="253"/>
      <c r="BI45" s="253"/>
      <c r="BJ45" s="253"/>
      <c r="BK45" s="253"/>
    </row>
    <row r="46" spans="1:63">
      <c r="A46" s="258" t="s">
        <v>162</v>
      </c>
      <c r="B46" s="258"/>
      <c r="C46" s="254" t="s">
        <v>163</v>
      </c>
      <c r="D46" s="254"/>
      <c r="E46" s="254"/>
      <c r="F46" s="254"/>
      <c r="G46" s="254" t="s">
        <v>80</v>
      </c>
      <c r="H46" s="64" t="s">
        <v>163</v>
      </c>
      <c r="I46" s="64"/>
      <c r="J46" s="64"/>
      <c r="K46" s="64"/>
      <c r="L46" s="254" t="s">
        <v>80</v>
      </c>
      <c r="M46" s="254" t="s">
        <v>163</v>
      </c>
      <c r="N46" s="254"/>
      <c r="O46" s="254"/>
      <c r="P46" s="254"/>
      <c r="Q46" s="254" t="s">
        <v>80</v>
      </c>
      <c r="R46" s="70"/>
      <c r="S46" s="254" t="s">
        <v>163</v>
      </c>
      <c r="T46" s="254"/>
      <c r="U46" s="254"/>
      <c r="V46" s="254"/>
      <c r="W46" s="254" t="s">
        <v>80</v>
      </c>
      <c r="X46" s="254" t="s">
        <v>163</v>
      </c>
      <c r="Y46" s="254"/>
      <c r="Z46" s="254"/>
      <c r="AA46" s="254"/>
      <c r="AB46" s="254" t="s">
        <v>80</v>
      </c>
      <c r="AC46" s="254" t="s">
        <v>163</v>
      </c>
      <c r="AD46" s="254"/>
      <c r="AE46" s="254"/>
      <c r="AF46" s="254"/>
      <c r="AG46" s="254" t="s">
        <v>80</v>
      </c>
      <c r="AH46" s="254" t="s">
        <v>163</v>
      </c>
      <c r="AI46" s="254"/>
      <c r="AJ46" s="254"/>
      <c r="AK46" s="254"/>
      <c r="AL46" s="254" t="s">
        <v>80</v>
      </c>
      <c r="AM46" s="254" t="s">
        <v>163</v>
      </c>
      <c r="AN46" s="254"/>
      <c r="AO46" s="254"/>
      <c r="AP46" s="254"/>
      <c r="AQ46" s="254" t="s">
        <v>80</v>
      </c>
      <c r="AR46" s="254" t="s">
        <v>163</v>
      </c>
      <c r="AS46" s="254"/>
      <c r="AT46" s="254"/>
      <c r="AU46" s="254"/>
      <c r="AV46" s="254" t="s">
        <v>80</v>
      </c>
      <c r="AW46" s="254" t="s">
        <v>163</v>
      </c>
      <c r="AX46" s="254"/>
      <c r="AY46" s="254"/>
      <c r="AZ46" s="254"/>
      <c r="BA46" s="254" t="s">
        <v>80</v>
      </c>
      <c r="BB46" s="254" t="s">
        <v>163</v>
      </c>
      <c r="BC46" s="254"/>
      <c r="BD46" s="254"/>
      <c r="BE46" s="254"/>
      <c r="BF46" s="254" t="s">
        <v>80</v>
      </c>
      <c r="BG46" s="254" t="s">
        <v>163</v>
      </c>
      <c r="BH46" s="254"/>
      <c r="BI46" s="254"/>
      <c r="BJ46" s="254"/>
      <c r="BK46" s="254" t="s">
        <v>80</v>
      </c>
    </row>
    <row r="47" spans="1:63">
      <c r="A47" s="258"/>
      <c r="B47" s="258"/>
      <c r="C47" s="53" t="s">
        <v>164</v>
      </c>
      <c r="D47" s="53" t="s">
        <v>165</v>
      </c>
      <c r="E47" s="53" t="s">
        <v>166</v>
      </c>
      <c r="F47" s="53" t="s">
        <v>167</v>
      </c>
      <c r="G47" s="254"/>
      <c r="H47" s="53" t="s">
        <v>164</v>
      </c>
      <c r="I47" s="53" t="s">
        <v>165</v>
      </c>
      <c r="J47" s="53" t="s">
        <v>166</v>
      </c>
      <c r="K47" s="53" t="s">
        <v>167</v>
      </c>
      <c r="L47" s="254"/>
      <c r="M47" s="53" t="s">
        <v>164</v>
      </c>
      <c r="N47" s="53" t="s">
        <v>165</v>
      </c>
      <c r="O47" s="53" t="s">
        <v>166</v>
      </c>
      <c r="P47" s="53" t="s">
        <v>167</v>
      </c>
      <c r="Q47" s="254"/>
      <c r="R47" s="70"/>
      <c r="S47" s="53" t="s">
        <v>164</v>
      </c>
      <c r="T47" s="53" t="s">
        <v>165</v>
      </c>
      <c r="U47" s="53" t="s">
        <v>166</v>
      </c>
      <c r="V47" s="53" t="s">
        <v>167</v>
      </c>
      <c r="W47" s="254"/>
      <c r="X47" s="53" t="s">
        <v>164</v>
      </c>
      <c r="Y47" s="53" t="s">
        <v>165</v>
      </c>
      <c r="Z47" s="53" t="s">
        <v>166</v>
      </c>
      <c r="AA47" s="53" t="s">
        <v>167</v>
      </c>
      <c r="AB47" s="254"/>
      <c r="AC47" s="53" t="s">
        <v>164</v>
      </c>
      <c r="AD47" s="53" t="s">
        <v>165</v>
      </c>
      <c r="AE47" s="53" t="s">
        <v>166</v>
      </c>
      <c r="AF47" s="53" t="s">
        <v>167</v>
      </c>
      <c r="AG47" s="254"/>
      <c r="AH47" s="53" t="s">
        <v>164</v>
      </c>
      <c r="AI47" s="53" t="s">
        <v>165</v>
      </c>
      <c r="AJ47" s="53" t="s">
        <v>166</v>
      </c>
      <c r="AK47" s="53" t="s">
        <v>167</v>
      </c>
      <c r="AL47" s="254"/>
      <c r="AM47" s="53" t="s">
        <v>164</v>
      </c>
      <c r="AN47" s="53" t="s">
        <v>165</v>
      </c>
      <c r="AO47" s="53" t="s">
        <v>166</v>
      </c>
      <c r="AP47" s="53" t="s">
        <v>167</v>
      </c>
      <c r="AQ47" s="254"/>
      <c r="AR47" s="53" t="s">
        <v>164</v>
      </c>
      <c r="AS47" s="53" t="s">
        <v>165</v>
      </c>
      <c r="AT47" s="53" t="s">
        <v>166</v>
      </c>
      <c r="AU47" s="53" t="s">
        <v>167</v>
      </c>
      <c r="AV47" s="254"/>
      <c r="AW47" s="53" t="s">
        <v>164</v>
      </c>
      <c r="AX47" s="53" t="s">
        <v>165</v>
      </c>
      <c r="AY47" s="53" t="s">
        <v>166</v>
      </c>
      <c r="AZ47" s="53" t="s">
        <v>167</v>
      </c>
      <c r="BA47" s="254"/>
      <c r="BB47" s="53" t="s">
        <v>164</v>
      </c>
      <c r="BC47" s="53" t="s">
        <v>165</v>
      </c>
      <c r="BD47" s="53" t="s">
        <v>166</v>
      </c>
      <c r="BE47" s="53" t="s">
        <v>167</v>
      </c>
      <c r="BF47" s="254"/>
      <c r="BG47" s="53" t="s">
        <v>164</v>
      </c>
      <c r="BH47" s="53" t="s">
        <v>165</v>
      </c>
      <c r="BI47" s="53" t="s">
        <v>166</v>
      </c>
      <c r="BJ47" s="53" t="s">
        <v>167</v>
      </c>
      <c r="BK47" s="254"/>
    </row>
    <row r="48" spans="1:63">
      <c r="A48" s="54" t="s">
        <v>183</v>
      </c>
      <c r="B48" s="55" t="s">
        <v>162</v>
      </c>
      <c r="C48" s="56">
        <v>15</v>
      </c>
      <c r="D48" s="56">
        <v>28</v>
      </c>
      <c r="E48" s="56">
        <v>27</v>
      </c>
      <c r="F48" s="56">
        <v>18</v>
      </c>
      <c r="G48" s="56">
        <v>88</v>
      </c>
      <c r="H48" s="56">
        <v>25</v>
      </c>
      <c r="I48" s="56">
        <v>30</v>
      </c>
      <c r="J48" s="56">
        <v>29</v>
      </c>
      <c r="K48" s="56">
        <v>30</v>
      </c>
      <c r="L48" s="56">
        <f>SUM(H48:K48)</f>
        <v>114</v>
      </c>
      <c r="M48" s="56">
        <v>20</v>
      </c>
      <c r="N48" s="56">
        <v>19</v>
      </c>
      <c r="O48" s="56">
        <v>11</v>
      </c>
      <c r="P48" s="56">
        <v>10</v>
      </c>
      <c r="Q48" s="56">
        <v>60</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row>
    <row r="49" spans="1:63">
      <c r="A49" s="54" t="s">
        <v>184</v>
      </c>
      <c r="B49" s="55" t="s">
        <v>162</v>
      </c>
      <c r="C49" s="56">
        <v>23</v>
      </c>
      <c r="D49" s="56">
        <v>33</v>
      </c>
      <c r="E49" s="56">
        <v>28</v>
      </c>
      <c r="F49" s="56">
        <v>21</v>
      </c>
      <c r="G49" s="56">
        <v>105</v>
      </c>
      <c r="H49" s="56">
        <v>29</v>
      </c>
      <c r="I49" s="56">
        <v>36</v>
      </c>
      <c r="J49" s="56">
        <v>31</v>
      </c>
      <c r="K49" s="56">
        <v>34</v>
      </c>
      <c r="L49" s="56">
        <f t="shared" ref="L49:L50" si="9">SUM(H49:K49)</f>
        <v>130</v>
      </c>
      <c r="M49" s="56">
        <v>21</v>
      </c>
      <c r="N49" s="56">
        <v>20</v>
      </c>
      <c r="O49" s="56">
        <v>14</v>
      </c>
      <c r="P49" s="56">
        <v>11</v>
      </c>
      <c r="Q49" s="56">
        <v>66</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row>
    <row r="50" spans="1:63">
      <c r="A50" s="54" t="s">
        <v>185</v>
      </c>
      <c r="B50" s="55" t="s">
        <v>162</v>
      </c>
      <c r="C50" s="56">
        <v>753</v>
      </c>
      <c r="D50" s="56">
        <v>891</v>
      </c>
      <c r="E50" s="56">
        <v>920</v>
      </c>
      <c r="F50" s="56">
        <v>861</v>
      </c>
      <c r="G50" s="56">
        <v>3425</v>
      </c>
      <c r="H50" s="56">
        <v>742</v>
      </c>
      <c r="I50" s="56">
        <v>896</v>
      </c>
      <c r="J50" s="56">
        <v>1101</v>
      </c>
      <c r="K50" s="56">
        <v>1035</v>
      </c>
      <c r="L50" s="56">
        <f t="shared" si="9"/>
        <v>3774</v>
      </c>
      <c r="M50" s="56">
        <v>428</v>
      </c>
      <c r="N50" s="56">
        <v>491</v>
      </c>
      <c r="O50" s="56">
        <v>481</v>
      </c>
      <c r="P50" s="56">
        <v>459</v>
      </c>
      <c r="Q50" s="56">
        <v>1859</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row>
    <row r="52" spans="1:63">
      <c r="A52" s="255"/>
      <c r="B52" s="256"/>
      <c r="C52" s="256"/>
      <c r="D52" s="256"/>
      <c r="E52" s="256"/>
      <c r="F52" s="256"/>
      <c r="G52" s="256"/>
      <c r="H52" s="69"/>
      <c r="I52" s="69"/>
      <c r="J52" s="69"/>
      <c r="K52" s="69"/>
    </row>
    <row r="54" spans="1:63">
      <c r="A54" s="257" t="s">
        <v>220</v>
      </c>
      <c r="B54" s="256"/>
      <c r="C54" s="256"/>
      <c r="D54" s="256"/>
      <c r="E54" s="256"/>
      <c r="F54" s="256"/>
      <c r="G54" s="256"/>
      <c r="H54" s="69"/>
      <c r="I54" s="69"/>
      <c r="J54" s="69"/>
      <c r="K54" s="69"/>
    </row>
    <row r="55" spans="1:63">
      <c r="E55" s="66" t="s">
        <v>58</v>
      </c>
      <c r="H55" s="253" t="str">
        <f>Table_4.0_Information!$A$5</f>
        <v>Kentucky</v>
      </c>
      <c r="I55" s="253"/>
      <c r="J55" s="253"/>
      <c r="K55" s="253"/>
      <c r="L55" s="253"/>
      <c r="M55" s="253" t="str">
        <f>Table_4.0_Information!$A$6</f>
        <v>New Mexico</v>
      </c>
      <c r="N55" s="253"/>
      <c r="O55" s="253"/>
      <c r="P55" s="253"/>
      <c r="Q55" s="253"/>
      <c r="R55" s="71"/>
      <c r="S55" s="253" t="str">
        <f>Table_4.0_Information!$A$7</f>
        <v>4 add state in table 0</v>
      </c>
      <c r="T55" s="253"/>
      <c r="U55" s="253"/>
      <c r="V55" s="253"/>
      <c r="W55" s="253"/>
      <c r="X55" s="253" t="str">
        <f>Table_4.0_Information!$A$8</f>
        <v>5 add state in table 0</v>
      </c>
      <c r="Y55" s="253"/>
      <c r="Z55" s="253"/>
      <c r="AA55" s="253"/>
      <c r="AB55" s="253"/>
      <c r="AC55" s="253" t="str">
        <f>Table_4.0_Information!$A$9</f>
        <v>6 add state in table 0</v>
      </c>
      <c r="AD55" s="253"/>
      <c r="AE55" s="253"/>
      <c r="AF55" s="253"/>
      <c r="AG55" s="253"/>
      <c r="AH55" s="253" t="str">
        <f>Table_4.0_Information!$A$10</f>
        <v>7 add state in table 0</v>
      </c>
      <c r="AI55" s="253"/>
      <c r="AJ55" s="253"/>
      <c r="AK55" s="253"/>
      <c r="AL55" s="253"/>
      <c r="AM55" s="253" t="str">
        <f>Table_4.0_Information!$A$11</f>
        <v>8 add state in table 0</v>
      </c>
      <c r="AN55" s="253"/>
      <c r="AO55" s="253"/>
      <c r="AP55" s="253"/>
      <c r="AQ55" s="253"/>
      <c r="AR55" s="253" t="str">
        <f>Table_4.0_Information!$A$12</f>
        <v>9 add state in table 0</v>
      </c>
      <c r="AS55" s="253"/>
      <c r="AT55" s="253"/>
      <c r="AU55" s="253"/>
      <c r="AV55" s="253"/>
      <c r="AW55" s="253" t="str">
        <f>Table_4.0_Information!$A$13</f>
        <v>10 add state in table 0</v>
      </c>
      <c r="AX55" s="253"/>
      <c r="AY55" s="253"/>
      <c r="AZ55" s="253"/>
      <c r="BA55" s="253"/>
      <c r="BB55" s="253" t="str">
        <f>Table_4.0_Information!$A$14</f>
        <v>11 add state in table 0</v>
      </c>
      <c r="BC55" s="253"/>
      <c r="BD55" s="253"/>
      <c r="BE55" s="253"/>
      <c r="BF55" s="253"/>
      <c r="BG55" s="253" t="str">
        <f>Table_4.0_Information!$A$15</f>
        <v>12 add state in table 0</v>
      </c>
      <c r="BH55" s="253"/>
      <c r="BI55" s="253"/>
      <c r="BJ55" s="253"/>
      <c r="BK55" s="253"/>
    </row>
    <row r="56" spans="1:63">
      <c r="A56" s="258" t="s">
        <v>162</v>
      </c>
      <c r="B56" s="258"/>
      <c r="C56" s="254" t="s">
        <v>163</v>
      </c>
      <c r="D56" s="254"/>
      <c r="E56" s="254"/>
      <c r="F56" s="254"/>
      <c r="G56" s="254" t="s">
        <v>80</v>
      </c>
      <c r="H56" s="64" t="s">
        <v>163</v>
      </c>
      <c r="I56" s="64"/>
      <c r="J56" s="64"/>
      <c r="K56" s="64"/>
      <c r="L56" s="254" t="s">
        <v>80</v>
      </c>
      <c r="M56" s="254" t="s">
        <v>163</v>
      </c>
      <c r="N56" s="254"/>
      <c r="O56" s="254"/>
      <c r="P56" s="254"/>
      <c r="Q56" s="254" t="s">
        <v>80</v>
      </c>
      <c r="R56" s="70"/>
      <c r="S56" s="254" t="s">
        <v>163</v>
      </c>
      <c r="T56" s="254"/>
      <c r="U56" s="254"/>
      <c r="V56" s="254"/>
      <c r="W56" s="254" t="s">
        <v>80</v>
      </c>
      <c r="X56" s="254" t="s">
        <v>163</v>
      </c>
      <c r="Y56" s="254"/>
      <c r="Z56" s="254"/>
      <c r="AA56" s="254"/>
      <c r="AB56" s="254" t="s">
        <v>80</v>
      </c>
      <c r="AC56" s="254" t="s">
        <v>163</v>
      </c>
      <c r="AD56" s="254"/>
      <c r="AE56" s="254"/>
      <c r="AF56" s="254"/>
      <c r="AG56" s="254" t="s">
        <v>80</v>
      </c>
      <c r="AH56" s="254" t="s">
        <v>163</v>
      </c>
      <c r="AI56" s="254"/>
      <c r="AJ56" s="254"/>
      <c r="AK56" s="254"/>
      <c r="AL56" s="254" t="s">
        <v>80</v>
      </c>
      <c r="AM56" s="254" t="s">
        <v>163</v>
      </c>
      <c r="AN56" s="254"/>
      <c r="AO56" s="254"/>
      <c r="AP56" s="254"/>
      <c r="AQ56" s="254" t="s">
        <v>80</v>
      </c>
      <c r="AR56" s="254" t="s">
        <v>163</v>
      </c>
      <c r="AS56" s="254"/>
      <c r="AT56" s="254"/>
      <c r="AU56" s="254"/>
      <c r="AV56" s="254" t="s">
        <v>80</v>
      </c>
      <c r="AW56" s="254" t="s">
        <v>163</v>
      </c>
      <c r="AX56" s="254"/>
      <c r="AY56" s="254"/>
      <c r="AZ56" s="254"/>
      <c r="BA56" s="254" t="s">
        <v>80</v>
      </c>
      <c r="BB56" s="254" t="s">
        <v>163</v>
      </c>
      <c r="BC56" s="254"/>
      <c r="BD56" s="254"/>
      <c r="BE56" s="254"/>
      <c r="BF56" s="254" t="s">
        <v>80</v>
      </c>
      <c r="BG56" s="254" t="s">
        <v>163</v>
      </c>
      <c r="BH56" s="254"/>
      <c r="BI56" s="254"/>
      <c r="BJ56" s="254"/>
      <c r="BK56" s="254" t="s">
        <v>80</v>
      </c>
    </row>
    <row r="57" spans="1:63">
      <c r="A57" s="258"/>
      <c r="B57" s="258"/>
      <c r="C57" s="53" t="s">
        <v>164</v>
      </c>
      <c r="D57" s="53" t="s">
        <v>165</v>
      </c>
      <c r="E57" s="53" t="s">
        <v>166</v>
      </c>
      <c r="F57" s="53" t="s">
        <v>167</v>
      </c>
      <c r="G57" s="254"/>
      <c r="H57" s="53" t="s">
        <v>164</v>
      </c>
      <c r="I57" s="53" t="s">
        <v>165</v>
      </c>
      <c r="J57" s="53" t="s">
        <v>166</v>
      </c>
      <c r="K57" s="53" t="s">
        <v>167</v>
      </c>
      <c r="L57" s="254"/>
      <c r="M57" s="53" t="s">
        <v>164</v>
      </c>
      <c r="N57" s="53" t="s">
        <v>165</v>
      </c>
      <c r="O57" s="53" t="s">
        <v>166</v>
      </c>
      <c r="P57" s="53" t="s">
        <v>167</v>
      </c>
      <c r="Q57" s="254"/>
      <c r="R57" s="70"/>
      <c r="S57" s="53" t="s">
        <v>164</v>
      </c>
      <c r="T57" s="53" t="s">
        <v>165</v>
      </c>
      <c r="U57" s="53" t="s">
        <v>166</v>
      </c>
      <c r="V57" s="53" t="s">
        <v>167</v>
      </c>
      <c r="W57" s="254"/>
      <c r="X57" s="53" t="s">
        <v>164</v>
      </c>
      <c r="Y57" s="53" t="s">
        <v>165</v>
      </c>
      <c r="Z57" s="53" t="s">
        <v>166</v>
      </c>
      <c r="AA57" s="53" t="s">
        <v>167</v>
      </c>
      <c r="AB57" s="254"/>
      <c r="AC57" s="53" t="s">
        <v>164</v>
      </c>
      <c r="AD57" s="53" t="s">
        <v>165</v>
      </c>
      <c r="AE57" s="53" t="s">
        <v>166</v>
      </c>
      <c r="AF57" s="53" t="s">
        <v>167</v>
      </c>
      <c r="AG57" s="254"/>
      <c r="AH57" s="53" t="s">
        <v>164</v>
      </c>
      <c r="AI57" s="53" t="s">
        <v>165</v>
      </c>
      <c r="AJ57" s="53" t="s">
        <v>166</v>
      </c>
      <c r="AK57" s="53" t="s">
        <v>167</v>
      </c>
      <c r="AL57" s="254"/>
      <c r="AM57" s="53" t="s">
        <v>164</v>
      </c>
      <c r="AN57" s="53" t="s">
        <v>165</v>
      </c>
      <c r="AO57" s="53" t="s">
        <v>166</v>
      </c>
      <c r="AP57" s="53" t="s">
        <v>167</v>
      </c>
      <c r="AQ57" s="254"/>
      <c r="AR57" s="53" t="s">
        <v>164</v>
      </c>
      <c r="AS57" s="53" t="s">
        <v>165</v>
      </c>
      <c r="AT57" s="53" t="s">
        <v>166</v>
      </c>
      <c r="AU57" s="53" t="s">
        <v>167</v>
      </c>
      <c r="AV57" s="254"/>
      <c r="AW57" s="53" t="s">
        <v>164</v>
      </c>
      <c r="AX57" s="53" t="s">
        <v>165</v>
      </c>
      <c r="AY57" s="53" t="s">
        <v>166</v>
      </c>
      <c r="AZ57" s="53" t="s">
        <v>167</v>
      </c>
      <c r="BA57" s="254"/>
      <c r="BB57" s="53" t="s">
        <v>164</v>
      </c>
      <c r="BC57" s="53" t="s">
        <v>165</v>
      </c>
      <c r="BD57" s="53" t="s">
        <v>166</v>
      </c>
      <c r="BE57" s="53" t="s">
        <v>167</v>
      </c>
      <c r="BF57" s="254"/>
      <c r="BG57" s="53" t="s">
        <v>164</v>
      </c>
      <c r="BH57" s="53" t="s">
        <v>165</v>
      </c>
      <c r="BI57" s="53" t="s">
        <v>166</v>
      </c>
      <c r="BJ57" s="53" t="s">
        <v>167</v>
      </c>
      <c r="BK57" s="254"/>
    </row>
    <row r="58" spans="1:63">
      <c r="A58" s="54" t="s">
        <v>186</v>
      </c>
      <c r="B58" s="55" t="s">
        <v>162</v>
      </c>
      <c r="C58" s="56">
        <v>207</v>
      </c>
      <c r="D58" s="56">
        <v>259</v>
      </c>
      <c r="E58" s="56">
        <v>252</v>
      </c>
      <c r="F58" s="56">
        <v>197</v>
      </c>
      <c r="G58" s="56">
        <v>915</v>
      </c>
      <c r="H58" s="56">
        <v>248</v>
      </c>
      <c r="I58" s="56">
        <v>271</v>
      </c>
      <c r="J58" s="56">
        <v>240</v>
      </c>
      <c r="K58" s="56">
        <v>228</v>
      </c>
      <c r="L58" s="56">
        <f>SUM(H58:K58)</f>
        <v>987</v>
      </c>
      <c r="M58" s="56">
        <v>127</v>
      </c>
      <c r="N58" s="56">
        <v>139</v>
      </c>
      <c r="O58" s="56">
        <v>129</v>
      </c>
      <c r="P58" s="56">
        <v>136</v>
      </c>
      <c r="Q58" s="56">
        <v>531</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row>
    <row r="59" spans="1:63">
      <c r="A59" s="54" t="s">
        <v>187</v>
      </c>
      <c r="B59" s="55" t="s">
        <v>162</v>
      </c>
      <c r="C59" s="56">
        <v>255</v>
      </c>
      <c r="D59" s="56">
        <v>319</v>
      </c>
      <c r="E59" s="56">
        <v>321</v>
      </c>
      <c r="F59" s="56">
        <v>240</v>
      </c>
      <c r="G59" s="56">
        <v>1135</v>
      </c>
      <c r="H59" s="56">
        <v>296</v>
      </c>
      <c r="I59" s="56">
        <v>317</v>
      </c>
      <c r="J59" s="56">
        <v>279</v>
      </c>
      <c r="K59" s="56">
        <v>265</v>
      </c>
      <c r="L59" s="56">
        <f>SUM(H59:K59)</f>
        <v>1157</v>
      </c>
      <c r="M59" s="56">
        <v>168</v>
      </c>
      <c r="N59" s="56">
        <v>176</v>
      </c>
      <c r="O59" s="56">
        <v>164</v>
      </c>
      <c r="P59" s="56">
        <v>162</v>
      </c>
      <c r="Q59" s="56">
        <v>670</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row>
    <row r="60" spans="1:63">
      <c r="A60" s="255"/>
      <c r="B60" s="256"/>
      <c r="C60" s="256"/>
      <c r="D60" s="256"/>
      <c r="E60" s="256"/>
      <c r="F60" s="256"/>
      <c r="G60" s="256"/>
    </row>
    <row r="61" spans="1:63">
      <c r="H61" s="69"/>
      <c r="I61" s="69"/>
      <c r="J61" s="69"/>
      <c r="K61" s="69"/>
    </row>
  </sheetData>
  <mergeCells count="222">
    <mergeCell ref="A26:B27"/>
    <mergeCell ref="A1:G1"/>
    <mergeCell ref="A3:B4"/>
    <mergeCell ref="C3:F3"/>
    <mergeCell ref="G3:G4"/>
    <mergeCell ref="A9:G9"/>
    <mergeCell ref="A11:G11"/>
    <mergeCell ref="A56:B57"/>
    <mergeCell ref="C56:F56"/>
    <mergeCell ref="G56:G57"/>
    <mergeCell ref="A60:G60"/>
    <mergeCell ref="L3:L4"/>
    <mergeCell ref="H12:L12"/>
    <mergeCell ref="C26:F26"/>
    <mergeCell ref="G26:G27"/>
    <mergeCell ref="A44:G44"/>
    <mergeCell ref="A46:B47"/>
    <mergeCell ref="C46:F46"/>
    <mergeCell ref="G46:G47"/>
    <mergeCell ref="A52:G52"/>
    <mergeCell ref="A54:G54"/>
    <mergeCell ref="A32:G32"/>
    <mergeCell ref="A34:G34"/>
    <mergeCell ref="A36:B37"/>
    <mergeCell ref="C36:F36"/>
    <mergeCell ref="G36:G37"/>
    <mergeCell ref="A42:G42"/>
    <mergeCell ref="A13:B14"/>
    <mergeCell ref="C13:F13"/>
    <mergeCell ref="A22:G22"/>
    <mergeCell ref="A24:G24"/>
    <mergeCell ref="H25:L25"/>
    <mergeCell ref="H45:L45"/>
    <mergeCell ref="L36:L37"/>
    <mergeCell ref="AH2:AL2"/>
    <mergeCell ref="AM2:AQ2"/>
    <mergeCell ref="AR2:AV2"/>
    <mergeCell ref="AW2:BA2"/>
    <mergeCell ref="BB2:BF2"/>
    <mergeCell ref="BG2:BK2"/>
    <mergeCell ref="AC3:AF3"/>
    <mergeCell ref="AG3:AG4"/>
    <mergeCell ref="H2:L2"/>
    <mergeCell ref="M2:Q2"/>
    <mergeCell ref="S2:W2"/>
    <mergeCell ref="X2:AB2"/>
    <mergeCell ref="AC2:AG2"/>
    <mergeCell ref="M3:P3"/>
    <mergeCell ref="Q3:Q4"/>
    <mergeCell ref="S3:V3"/>
    <mergeCell ref="W3:W4"/>
    <mergeCell ref="X3:AA3"/>
    <mergeCell ref="AB3:AB4"/>
    <mergeCell ref="AW3:AZ3"/>
    <mergeCell ref="BA3:BA4"/>
    <mergeCell ref="BB3:BE3"/>
    <mergeCell ref="BF3:BF4"/>
    <mergeCell ref="BG3:BJ3"/>
    <mergeCell ref="BK3:BK4"/>
    <mergeCell ref="AH3:AK3"/>
    <mergeCell ref="AL3:AL4"/>
    <mergeCell ref="AM3:AP3"/>
    <mergeCell ref="AQ3:AQ4"/>
    <mergeCell ref="AR3:AU3"/>
    <mergeCell ref="AV3:AV4"/>
    <mergeCell ref="BB25:BF25"/>
    <mergeCell ref="BG25:BK25"/>
    <mergeCell ref="AL13:AL14"/>
    <mergeCell ref="AM25:AQ25"/>
    <mergeCell ref="AR25:AV25"/>
    <mergeCell ref="AW25:BA25"/>
    <mergeCell ref="AV13:AV14"/>
    <mergeCell ref="AW13:AZ13"/>
    <mergeCell ref="BA13:BA14"/>
    <mergeCell ref="BB13:BE13"/>
    <mergeCell ref="BF13:BF14"/>
    <mergeCell ref="BG13:BJ13"/>
    <mergeCell ref="W13:W14"/>
    <mergeCell ref="X13:AA13"/>
    <mergeCell ref="AB13:AB14"/>
    <mergeCell ref="AC13:AF13"/>
    <mergeCell ref="AG13:AG14"/>
    <mergeCell ref="AH13:AK13"/>
    <mergeCell ref="L13:L14"/>
    <mergeCell ref="M13:P13"/>
    <mergeCell ref="Q13:Q14"/>
    <mergeCell ref="S13:V13"/>
    <mergeCell ref="H35:L35"/>
    <mergeCell ref="M35:Q35"/>
    <mergeCell ref="S35:W35"/>
    <mergeCell ref="X35:AB35"/>
    <mergeCell ref="AC35:AG35"/>
    <mergeCell ref="AH35:AL35"/>
    <mergeCell ref="L26:L27"/>
    <mergeCell ref="M26:P26"/>
    <mergeCell ref="Q26:Q27"/>
    <mergeCell ref="S26:V26"/>
    <mergeCell ref="W26:W27"/>
    <mergeCell ref="X26:AA26"/>
    <mergeCell ref="AB26:AB27"/>
    <mergeCell ref="AC26:AF26"/>
    <mergeCell ref="AG26:AG27"/>
    <mergeCell ref="AH26:AK26"/>
    <mergeCell ref="AL26:AL27"/>
    <mergeCell ref="M25:Q25"/>
    <mergeCell ref="S25:W25"/>
    <mergeCell ref="X25:AB25"/>
    <mergeCell ref="AC25:AG25"/>
    <mergeCell ref="AH25:AL25"/>
    <mergeCell ref="AM35:AQ35"/>
    <mergeCell ref="AR35:AV35"/>
    <mergeCell ref="AW35:BA35"/>
    <mergeCell ref="BB35:BF35"/>
    <mergeCell ref="BG35:BK35"/>
    <mergeCell ref="BB26:BE26"/>
    <mergeCell ref="BF26:BF27"/>
    <mergeCell ref="BG26:BJ26"/>
    <mergeCell ref="BK26:BK27"/>
    <mergeCell ref="AV26:AV27"/>
    <mergeCell ref="AW26:AZ26"/>
    <mergeCell ref="BA26:BA27"/>
    <mergeCell ref="AM26:AP26"/>
    <mergeCell ref="AQ26:AQ27"/>
    <mergeCell ref="AR26:AU26"/>
    <mergeCell ref="AH45:AL45"/>
    <mergeCell ref="AM45:AQ45"/>
    <mergeCell ref="M45:Q45"/>
    <mergeCell ref="S45:W45"/>
    <mergeCell ref="X45:AB45"/>
    <mergeCell ref="AC45:AG45"/>
    <mergeCell ref="AQ36:AQ37"/>
    <mergeCell ref="AR36:AU36"/>
    <mergeCell ref="AV36:AV37"/>
    <mergeCell ref="AB36:AB37"/>
    <mergeCell ref="AC36:AF36"/>
    <mergeCell ref="AG36:AG37"/>
    <mergeCell ref="AH36:AK36"/>
    <mergeCell ref="AL36:AL37"/>
    <mergeCell ref="AM36:AP36"/>
    <mergeCell ref="M36:P36"/>
    <mergeCell ref="Q36:Q37"/>
    <mergeCell ref="S36:V36"/>
    <mergeCell ref="W36:W37"/>
    <mergeCell ref="X36:AA36"/>
    <mergeCell ref="AR45:AV45"/>
    <mergeCell ref="AW45:BA45"/>
    <mergeCell ref="BB45:BF45"/>
    <mergeCell ref="BG45:BK45"/>
    <mergeCell ref="BF36:BF37"/>
    <mergeCell ref="BG36:BJ36"/>
    <mergeCell ref="BK36:BK37"/>
    <mergeCell ref="BA36:BA37"/>
    <mergeCell ref="BB36:BE36"/>
    <mergeCell ref="AW36:AZ36"/>
    <mergeCell ref="M12:Q12"/>
    <mergeCell ref="S12:W12"/>
    <mergeCell ref="X12:AB12"/>
    <mergeCell ref="AC12:AG12"/>
    <mergeCell ref="AH12:AL12"/>
    <mergeCell ref="G13:G14"/>
    <mergeCell ref="BK13:BK14"/>
    <mergeCell ref="W56:W57"/>
    <mergeCell ref="X56:AA56"/>
    <mergeCell ref="AB56:AB57"/>
    <mergeCell ref="AC56:AF56"/>
    <mergeCell ref="AG56:AG57"/>
    <mergeCell ref="AH56:AK56"/>
    <mergeCell ref="AR55:AV55"/>
    <mergeCell ref="AW55:BA55"/>
    <mergeCell ref="BB55:BF55"/>
    <mergeCell ref="BA56:BA57"/>
    <mergeCell ref="BB56:BE56"/>
    <mergeCell ref="BF56:BF57"/>
    <mergeCell ref="L56:L57"/>
    <mergeCell ref="M56:P56"/>
    <mergeCell ref="Q56:Q57"/>
    <mergeCell ref="S56:V56"/>
    <mergeCell ref="BK46:BK47"/>
    <mergeCell ref="BG56:BJ56"/>
    <mergeCell ref="BK56:BK57"/>
    <mergeCell ref="AL56:AL57"/>
    <mergeCell ref="AM56:AP56"/>
    <mergeCell ref="AQ56:AQ57"/>
    <mergeCell ref="AR56:AU56"/>
    <mergeCell ref="AV56:AV57"/>
    <mergeCell ref="AW56:AZ56"/>
    <mergeCell ref="AM12:AQ12"/>
    <mergeCell ref="AR12:AV12"/>
    <mergeCell ref="AW12:BA12"/>
    <mergeCell ref="BB12:BF12"/>
    <mergeCell ref="BG12:BK12"/>
    <mergeCell ref="AM13:AP13"/>
    <mergeCell ref="AQ13:AQ14"/>
    <mergeCell ref="AR13:AU13"/>
    <mergeCell ref="AH55:AL55"/>
    <mergeCell ref="AM55:AQ55"/>
    <mergeCell ref="AV46:AV47"/>
    <mergeCell ref="AW46:AZ46"/>
    <mergeCell ref="BA46:BA47"/>
    <mergeCell ref="BB46:BE46"/>
    <mergeCell ref="BF46:BF47"/>
    <mergeCell ref="BG46:BJ46"/>
    <mergeCell ref="BG55:BK55"/>
    <mergeCell ref="AR46:AU46"/>
    <mergeCell ref="L46:L47"/>
    <mergeCell ref="M46:P46"/>
    <mergeCell ref="Q46:Q47"/>
    <mergeCell ref="S46:V46"/>
    <mergeCell ref="W46:W47"/>
    <mergeCell ref="X46:AA46"/>
    <mergeCell ref="AB46:AB47"/>
    <mergeCell ref="AC46:AF46"/>
    <mergeCell ref="H55:L55"/>
    <mergeCell ref="M55:Q55"/>
    <mergeCell ref="S55:W55"/>
    <mergeCell ref="X55:AB55"/>
    <mergeCell ref="AC55:AG55"/>
    <mergeCell ref="AG46:AG47"/>
    <mergeCell ref="AH46:AK46"/>
    <mergeCell ref="AL46:AL47"/>
    <mergeCell ref="AM46:AP46"/>
    <mergeCell ref="AQ46:AQ4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24627-DC50-7646-B53E-B2EB4B3B136E}">
  <dimension ref="A1:G61"/>
  <sheetViews>
    <sheetView workbookViewId="0">
      <selection activeCell="A6" sqref="A6"/>
    </sheetView>
  </sheetViews>
  <sheetFormatPr baseColWidth="10" defaultColWidth="10.6640625" defaultRowHeight="15"/>
  <cols>
    <col min="1" max="1" width="110" style="111" bestFit="1" customWidth="1"/>
    <col min="2" max="2" width="3" style="111" bestFit="1" customWidth="1"/>
    <col min="3" max="3" width="7" style="111" customWidth="1"/>
    <col min="4" max="6" width="10.6640625" style="111"/>
    <col min="7" max="7" width="7.6640625" style="200" bestFit="1" customWidth="1"/>
    <col min="8" max="16384" width="10.6640625" style="111"/>
  </cols>
  <sheetData>
    <row r="1" spans="1:7">
      <c r="A1" s="257" t="s">
        <v>217</v>
      </c>
      <c r="B1" s="256"/>
      <c r="C1" s="256"/>
      <c r="G1" s="111"/>
    </row>
    <row r="2" spans="1:7">
      <c r="D2" s="113"/>
      <c r="E2" s="113"/>
      <c r="F2" s="113"/>
    </row>
    <row r="3" spans="1:7">
      <c r="A3" s="258" t="s">
        <v>162</v>
      </c>
      <c r="B3" s="258"/>
      <c r="C3" s="254" t="s">
        <v>58</v>
      </c>
      <c r="D3" s="254" t="s">
        <v>59</v>
      </c>
      <c r="E3" s="112"/>
      <c r="F3" s="254" t="s">
        <v>60</v>
      </c>
      <c r="G3" s="260" t="s">
        <v>338</v>
      </c>
    </row>
    <row r="4" spans="1:7">
      <c r="A4" s="258"/>
      <c r="B4" s="258"/>
      <c r="C4" s="254"/>
      <c r="D4" s="254"/>
      <c r="E4" s="112" t="s">
        <v>337</v>
      </c>
      <c r="F4" s="254"/>
      <c r="G4" s="260"/>
    </row>
    <row r="5" spans="1:7">
      <c r="A5" s="54" t="s">
        <v>168</v>
      </c>
      <c r="B5" s="112" t="s">
        <v>162</v>
      </c>
      <c r="C5" s="56">
        <v>1801</v>
      </c>
      <c r="D5" s="56">
        <v>6155</v>
      </c>
      <c r="E5" s="213">
        <v>3150</v>
      </c>
      <c r="F5" s="56">
        <v>1466</v>
      </c>
      <c r="G5" s="56">
        <v>4498</v>
      </c>
    </row>
    <row r="6" spans="1:7">
      <c r="A6" s="54" t="s">
        <v>169</v>
      </c>
      <c r="B6" s="112" t="s">
        <v>162</v>
      </c>
      <c r="C6" s="56">
        <v>3022</v>
      </c>
      <c r="D6" s="56">
        <v>7064</v>
      </c>
      <c r="E6" s="213">
        <v>5696</v>
      </c>
      <c r="F6" s="56">
        <v>2005</v>
      </c>
      <c r="G6" s="56">
        <v>6243</v>
      </c>
    </row>
    <row r="7" spans="1:7" ht="28">
      <c r="A7" s="57" t="s">
        <v>170</v>
      </c>
      <c r="B7" s="112" t="s">
        <v>162</v>
      </c>
      <c r="C7" s="56">
        <v>12367</v>
      </c>
      <c r="D7" s="56">
        <v>16794</v>
      </c>
      <c r="E7" s="213">
        <v>16276</v>
      </c>
      <c r="F7" s="56">
        <v>9003</v>
      </c>
      <c r="G7" s="56">
        <v>20647</v>
      </c>
    </row>
    <row r="9" spans="1:7">
      <c r="A9" s="255"/>
      <c r="B9" s="256"/>
      <c r="C9" s="256"/>
      <c r="G9" s="111"/>
    </row>
    <row r="11" spans="1:7">
      <c r="A11" s="259" t="s">
        <v>217</v>
      </c>
      <c r="B11" s="256"/>
      <c r="C11" s="256"/>
      <c r="G11" s="111"/>
    </row>
    <row r="12" spans="1:7">
      <c r="D12" s="113"/>
      <c r="E12" s="113"/>
      <c r="F12" s="113"/>
    </row>
    <row r="13" spans="1:7">
      <c r="A13" s="258" t="s">
        <v>162</v>
      </c>
      <c r="B13" s="258"/>
      <c r="C13" s="254" t="s">
        <v>58</v>
      </c>
      <c r="D13" s="254" t="s">
        <v>59</v>
      </c>
      <c r="E13" s="112"/>
      <c r="F13" s="254" t="s">
        <v>60</v>
      </c>
      <c r="G13" s="260" t="s">
        <v>338</v>
      </c>
    </row>
    <row r="14" spans="1:7">
      <c r="A14" s="258"/>
      <c r="B14" s="258"/>
      <c r="C14" s="254"/>
      <c r="D14" s="254"/>
      <c r="E14" s="112" t="s">
        <v>337</v>
      </c>
      <c r="F14" s="254"/>
      <c r="G14" s="260"/>
    </row>
    <row r="15" spans="1:7">
      <c r="A15" s="54" t="s">
        <v>171</v>
      </c>
      <c r="B15" s="112" t="s">
        <v>162</v>
      </c>
      <c r="C15" s="56">
        <v>1032</v>
      </c>
      <c r="D15" s="56">
        <v>1554</v>
      </c>
      <c r="E15" s="213">
        <v>1876</v>
      </c>
      <c r="F15" s="56">
        <v>792</v>
      </c>
      <c r="G15" s="56">
        <v>2770</v>
      </c>
    </row>
    <row r="16" spans="1:7">
      <c r="A16" s="54" t="s">
        <v>172</v>
      </c>
      <c r="B16" s="112" t="s">
        <v>162</v>
      </c>
      <c r="C16" s="56">
        <v>2107</v>
      </c>
      <c r="D16" s="56">
        <v>2295</v>
      </c>
      <c r="E16" s="213">
        <v>3549</v>
      </c>
      <c r="F16" s="56">
        <v>1204</v>
      </c>
      <c r="G16" s="56">
        <v>4148</v>
      </c>
    </row>
    <row r="17" spans="1:7">
      <c r="A17" s="54" t="s">
        <v>173</v>
      </c>
      <c r="B17" s="112" t="s">
        <v>162</v>
      </c>
      <c r="C17" s="56">
        <v>8</v>
      </c>
      <c r="D17" s="56">
        <v>27</v>
      </c>
      <c r="E17" s="208">
        <v>48</v>
      </c>
      <c r="F17" s="56">
        <v>16</v>
      </c>
      <c r="G17" s="56">
        <v>42</v>
      </c>
    </row>
    <row r="18" spans="1:7">
      <c r="A18" s="54" t="s">
        <v>174</v>
      </c>
      <c r="B18" s="112" t="s">
        <v>162</v>
      </c>
      <c r="C18" s="56">
        <v>8</v>
      </c>
      <c r="D18" s="56">
        <v>33</v>
      </c>
      <c r="E18" s="208">
        <v>49</v>
      </c>
      <c r="F18" s="56">
        <v>16</v>
      </c>
      <c r="G18" s="56">
        <v>42</v>
      </c>
    </row>
    <row r="19" spans="1:7">
      <c r="A19" s="54" t="s">
        <v>175</v>
      </c>
      <c r="B19" s="112" t="s">
        <v>162</v>
      </c>
      <c r="C19" s="56">
        <v>761</v>
      </c>
      <c r="D19" s="56">
        <v>4570</v>
      </c>
      <c r="E19" s="213">
        <v>1226</v>
      </c>
      <c r="F19" s="56">
        <v>658</v>
      </c>
      <c r="G19" s="56">
        <v>1686</v>
      </c>
    </row>
    <row r="20" spans="1:7">
      <c r="A20" s="54" t="s">
        <v>176</v>
      </c>
      <c r="B20" s="112" t="s">
        <v>162</v>
      </c>
      <c r="C20" s="56">
        <v>761</v>
      </c>
      <c r="D20" s="56">
        <v>4568</v>
      </c>
      <c r="E20" s="213">
        <v>1225</v>
      </c>
      <c r="F20" s="56">
        <v>658</v>
      </c>
      <c r="G20" s="56">
        <v>1686</v>
      </c>
    </row>
    <row r="22" spans="1:7">
      <c r="A22" s="255"/>
      <c r="B22" s="256"/>
      <c r="C22" s="256"/>
      <c r="G22" s="111"/>
    </row>
    <row r="24" spans="1:7">
      <c r="A24" s="257" t="s">
        <v>218</v>
      </c>
      <c r="B24" s="256"/>
      <c r="C24" s="256"/>
      <c r="G24" s="111"/>
    </row>
    <row r="25" spans="1:7">
      <c r="D25" s="113"/>
      <c r="E25" s="113"/>
      <c r="F25" s="113"/>
    </row>
    <row r="26" spans="1:7">
      <c r="A26" s="258" t="s">
        <v>162</v>
      </c>
      <c r="B26" s="258"/>
      <c r="C26" s="254" t="s">
        <v>58</v>
      </c>
      <c r="D26" s="254" t="s">
        <v>59</v>
      </c>
      <c r="E26" s="112"/>
      <c r="F26" s="254" t="s">
        <v>60</v>
      </c>
      <c r="G26" s="260" t="s">
        <v>338</v>
      </c>
    </row>
    <row r="27" spans="1:7">
      <c r="A27" s="258"/>
      <c r="B27" s="258"/>
      <c r="C27" s="254"/>
      <c r="D27" s="254"/>
      <c r="E27" s="112" t="s">
        <v>337</v>
      </c>
      <c r="F27" s="254"/>
      <c r="G27" s="260"/>
    </row>
    <row r="28" spans="1:7">
      <c r="A28" s="54" t="s">
        <v>177</v>
      </c>
      <c r="B28" s="112" t="s">
        <v>162</v>
      </c>
      <c r="C28" s="56">
        <v>293</v>
      </c>
      <c r="D28" s="56">
        <v>234</v>
      </c>
      <c r="E28" s="208">
        <v>324</v>
      </c>
      <c r="F28" s="56">
        <v>68</v>
      </c>
      <c r="G28" s="56">
        <v>214</v>
      </c>
    </row>
    <row r="29" spans="1:7">
      <c r="A29" s="54" t="s">
        <v>178</v>
      </c>
      <c r="B29" s="112" t="s">
        <v>162</v>
      </c>
      <c r="C29" s="56">
        <v>476</v>
      </c>
      <c r="D29" s="56">
        <v>277</v>
      </c>
      <c r="E29" s="208">
        <v>427</v>
      </c>
      <c r="F29" s="56">
        <v>108</v>
      </c>
      <c r="G29" s="56">
        <v>315</v>
      </c>
    </row>
    <row r="30" spans="1:7">
      <c r="A30" s="54" t="s">
        <v>179</v>
      </c>
      <c r="B30" s="112" t="s">
        <v>162</v>
      </c>
      <c r="C30" s="56">
        <v>18478</v>
      </c>
      <c r="D30" s="56">
        <v>10607</v>
      </c>
      <c r="E30" s="213">
        <v>19696</v>
      </c>
      <c r="F30" s="56">
        <v>5431</v>
      </c>
      <c r="G30" s="56">
        <v>17542</v>
      </c>
    </row>
    <row r="32" spans="1:7">
      <c r="A32" s="255"/>
      <c r="B32" s="256"/>
      <c r="C32" s="256"/>
      <c r="G32" s="111"/>
    </row>
    <row r="34" spans="1:7">
      <c r="A34" s="257" t="s">
        <v>219</v>
      </c>
      <c r="B34" s="256"/>
      <c r="C34" s="256"/>
      <c r="G34" s="111"/>
    </row>
    <row r="35" spans="1:7">
      <c r="D35" s="113"/>
      <c r="E35" s="113"/>
      <c r="F35" s="113"/>
    </row>
    <row r="36" spans="1:7">
      <c r="A36" s="258" t="s">
        <v>162</v>
      </c>
      <c r="B36" s="258"/>
      <c r="C36" s="254" t="s">
        <v>58</v>
      </c>
      <c r="D36" s="254" t="s">
        <v>59</v>
      </c>
      <c r="E36" s="112"/>
      <c r="F36" s="254" t="s">
        <v>60</v>
      </c>
      <c r="G36" s="260" t="s">
        <v>338</v>
      </c>
    </row>
    <row r="37" spans="1:7">
      <c r="A37" s="258"/>
      <c r="B37" s="258"/>
      <c r="C37" s="254"/>
      <c r="D37" s="254"/>
      <c r="E37" s="112" t="s">
        <v>337</v>
      </c>
      <c r="F37" s="254"/>
      <c r="G37" s="260"/>
    </row>
    <row r="38" spans="1:7">
      <c r="A38" s="54" t="s">
        <v>180</v>
      </c>
      <c r="B38" s="112" t="s">
        <v>162</v>
      </c>
      <c r="C38" s="56">
        <v>244</v>
      </c>
      <c r="D38" s="56">
        <v>446</v>
      </c>
      <c r="E38" s="208">
        <v>541</v>
      </c>
      <c r="F38" s="56">
        <v>225</v>
      </c>
      <c r="G38" s="56">
        <v>664</v>
      </c>
    </row>
    <row r="39" spans="1:7">
      <c r="A39" s="54" t="s">
        <v>181</v>
      </c>
      <c r="B39" s="112" t="s">
        <v>162</v>
      </c>
      <c r="C39" s="56">
        <v>302</v>
      </c>
      <c r="D39" s="56">
        <v>557</v>
      </c>
      <c r="E39" s="208">
        <v>702</v>
      </c>
      <c r="F39" s="56">
        <v>264</v>
      </c>
      <c r="G39" s="56">
        <v>871</v>
      </c>
    </row>
    <row r="40" spans="1:7">
      <c r="A40" s="54" t="s">
        <v>182</v>
      </c>
      <c r="B40" s="112" t="s">
        <v>162</v>
      </c>
      <c r="C40" s="56">
        <v>302</v>
      </c>
      <c r="D40" s="56">
        <v>557</v>
      </c>
      <c r="E40" s="208">
        <v>702</v>
      </c>
      <c r="F40" s="56">
        <v>264</v>
      </c>
      <c r="G40" s="56">
        <v>871</v>
      </c>
    </row>
    <row r="42" spans="1:7">
      <c r="A42" s="255"/>
      <c r="B42" s="256"/>
      <c r="C42" s="256"/>
      <c r="G42" s="111"/>
    </row>
    <row r="44" spans="1:7">
      <c r="A44" s="257" t="s">
        <v>221</v>
      </c>
      <c r="B44" s="256"/>
      <c r="C44" s="256"/>
      <c r="G44" s="111"/>
    </row>
    <row r="45" spans="1:7">
      <c r="D45" s="113"/>
      <c r="E45" s="113"/>
      <c r="F45" s="113"/>
    </row>
    <row r="46" spans="1:7">
      <c r="A46" s="258" t="s">
        <v>162</v>
      </c>
      <c r="B46" s="258"/>
      <c r="C46" s="254" t="s">
        <v>58</v>
      </c>
      <c r="D46" s="254" t="s">
        <v>59</v>
      </c>
      <c r="E46" s="112"/>
      <c r="F46" s="254" t="s">
        <v>60</v>
      </c>
      <c r="G46" s="260" t="s">
        <v>338</v>
      </c>
    </row>
    <row r="47" spans="1:7">
      <c r="A47" s="258"/>
      <c r="B47" s="258"/>
      <c r="C47" s="254"/>
      <c r="D47" s="254"/>
      <c r="E47" s="112" t="s">
        <v>337</v>
      </c>
      <c r="F47" s="254"/>
      <c r="G47" s="260"/>
    </row>
    <row r="48" spans="1:7">
      <c r="A48" s="54" t="s">
        <v>183</v>
      </c>
      <c r="B48" s="112" t="s">
        <v>162</v>
      </c>
      <c r="C48" s="56">
        <v>88</v>
      </c>
      <c r="D48" s="56">
        <v>114</v>
      </c>
      <c r="E48" s="208">
        <v>377</v>
      </c>
      <c r="F48" s="56">
        <v>60</v>
      </c>
      <c r="G48" s="56">
        <v>228</v>
      </c>
    </row>
    <row r="49" spans="1:7">
      <c r="A49" s="54" t="s">
        <v>184</v>
      </c>
      <c r="B49" s="112" t="s">
        <v>162</v>
      </c>
      <c r="C49" s="56">
        <v>105</v>
      </c>
      <c r="D49" s="56">
        <v>130</v>
      </c>
      <c r="E49" s="208">
        <v>432</v>
      </c>
      <c r="F49" s="56">
        <v>66</v>
      </c>
      <c r="G49" s="56">
        <v>257</v>
      </c>
    </row>
    <row r="50" spans="1:7">
      <c r="A50" s="54" t="s">
        <v>185</v>
      </c>
      <c r="B50" s="112" t="s">
        <v>162</v>
      </c>
      <c r="C50" s="56">
        <v>3425</v>
      </c>
      <c r="D50" s="56">
        <v>3774</v>
      </c>
      <c r="E50" s="213">
        <v>12084</v>
      </c>
      <c r="F50" s="56">
        <v>1859</v>
      </c>
      <c r="G50" s="56">
        <v>9098</v>
      </c>
    </row>
    <row r="52" spans="1:7">
      <c r="A52" s="255"/>
      <c r="B52" s="256"/>
      <c r="C52" s="256"/>
      <c r="G52" s="111"/>
    </row>
    <row r="54" spans="1:7">
      <c r="A54" s="257" t="s">
        <v>220</v>
      </c>
      <c r="B54" s="256"/>
      <c r="C54" s="256"/>
      <c r="G54" s="111"/>
    </row>
    <row r="55" spans="1:7">
      <c r="D55" s="113"/>
      <c r="E55" s="113"/>
      <c r="F55" s="113"/>
    </row>
    <row r="56" spans="1:7">
      <c r="A56" s="258" t="s">
        <v>162</v>
      </c>
      <c r="B56" s="258"/>
      <c r="C56" s="254" t="s">
        <v>58</v>
      </c>
      <c r="D56" s="254" t="s">
        <v>59</v>
      </c>
      <c r="E56" s="112"/>
      <c r="F56" s="254" t="s">
        <v>60</v>
      </c>
      <c r="G56" s="260" t="s">
        <v>80</v>
      </c>
    </row>
    <row r="57" spans="1:7">
      <c r="A57" s="258"/>
      <c r="B57" s="258"/>
      <c r="C57" s="254"/>
      <c r="D57" s="254"/>
      <c r="E57" s="112" t="s">
        <v>337</v>
      </c>
      <c r="F57" s="254"/>
      <c r="G57" s="260"/>
    </row>
    <row r="58" spans="1:7">
      <c r="A58" s="54" t="s">
        <v>186</v>
      </c>
      <c r="B58" s="112" t="s">
        <v>162</v>
      </c>
      <c r="C58" s="56">
        <v>915</v>
      </c>
      <c r="D58" s="56">
        <v>987</v>
      </c>
      <c r="E58" s="213">
        <v>1535</v>
      </c>
      <c r="F58" s="56">
        <v>531</v>
      </c>
      <c r="G58" s="56">
        <v>2233</v>
      </c>
    </row>
    <row r="59" spans="1:7">
      <c r="A59" s="54" t="s">
        <v>187</v>
      </c>
      <c r="B59" s="112" t="s">
        <v>162</v>
      </c>
      <c r="C59" s="56">
        <v>1135</v>
      </c>
      <c r="D59" s="56">
        <v>1157</v>
      </c>
      <c r="E59" s="213">
        <v>2040</v>
      </c>
      <c r="F59" s="56">
        <v>670</v>
      </c>
      <c r="G59" s="56">
        <v>2627</v>
      </c>
    </row>
    <row r="60" spans="1:7">
      <c r="A60" s="255"/>
      <c r="B60" s="256"/>
      <c r="C60" s="256"/>
    </row>
    <row r="61" spans="1:7">
      <c r="G61" s="111"/>
    </row>
  </sheetData>
  <mergeCells count="42">
    <mergeCell ref="G56:G57"/>
    <mergeCell ref="G3:G4"/>
    <mergeCell ref="G13:G14"/>
    <mergeCell ref="G26:G27"/>
    <mergeCell ref="G36:G37"/>
    <mergeCell ref="G46:G47"/>
    <mergeCell ref="A60:C60"/>
    <mergeCell ref="A56:B57"/>
    <mergeCell ref="C56:C57"/>
    <mergeCell ref="D56:D57"/>
    <mergeCell ref="F56:F57"/>
    <mergeCell ref="A52:C52"/>
    <mergeCell ref="A54:C54"/>
    <mergeCell ref="A46:B47"/>
    <mergeCell ref="C46:C47"/>
    <mergeCell ref="D46:D47"/>
    <mergeCell ref="F46:F47"/>
    <mergeCell ref="A42:C42"/>
    <mergeCell ref="A44:C44"/>
    <mergeCell ref="A36:B37"/>
    <mergeCell ref="C36:C37"/>
    <mergeCell ref="D36:D37"/>
    <mergeCell ref="F36:F37"/>
    <mergeCell ref="A32:C32"/>
    <mergeCell ref="A34:C34"/>
    <mergeCell ref="A26:B27"/>
    <mergeCell ref="C26:C27"/>
    <mergeCell ref="D26:D27"/>
    <mergeCell ref="F26:F27"/>
    <mergeCell ref="A22:C22"/>
    <mergeCell ref="A24:C24"/>
    <mergeCell ref="A13:B14"/>
    <mergeCell ref="C13:C14"/>
    <mergeCell ref="D13:D14"/>
    <mergeCell ref="F13:F14"/>
    <mergeCell ref="F3:F4"/>
    <mergeCell ref="A1:C1"/>
    <mergeCell ref="A9:C9"/>
    <mergeCell ref="A11:C11"/>
    <mergeCell ref="A3:B4"/>
    <mergeCell ref="C3:C4"/>
    <mergeCell ref="D3:D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A393D-C15F-4369-ABAA-1B682FC0C064}">
  <dimension ref="A1:P121"/>
  <sheetViews>
    <sheetView zoomScaleNormal="50" workbookViewId="0">
      <selection activeCell="F21" sqref="F21"/>
    </sheetView>
  </sheetViews>
  <sheetFormatPr baseColWidth="10" defaultColWidth="11.5" defaultRowHeight="15"/>
  <cols>
    <col min="1" max="16384" width="11.5" style="20"/>
  </cols>
  <sheetData>
    <row r="1" spans="1:5" ht="160">
      <c r="C1" s="80" t="s">
        <v>168</v>
      </c>
      <c r="D1" s="80" t="s">
        <v>169</v>
      </c>
      <c r="E1" s="80" t="s">
        <v>170</v>
      </c>
    </row>
    <row r="2" spans="1:5" ht="28">
      <c r="A2" s="81"/>
      <c r="B2" s="81"/>
      <c r="C2" s="54" t="s">
        <v>331</v>
      </c>
      <c r="D2" s="54" t="s">
        <v>332</v>
      </c>
      <c r="E2" s="57" t="s">
        <v>333</v>
      </c>
    </row>
    <row r="3" spans="1:5">
      <c r="A3" s="81" t="s">
        <v>58</v>
      </c>
      <c r="B3" s="81" t="s">
        <v>164</v>
      </c>
      <c r="C3" s="56">
        <v>377</v>
      </c>
      <c r="D3" s="56">
        <v>671</v>
      </c>
      <c r="E3" s="56">
        <v>2809</v>
      </c>
    </row>
    <row r="4" spans="1:5">
      <c r="A4" s="81"/>
      <c r="B4" s="81" t="s">
        <v>165</v>
      </c>
      <c r="C4" s="56">
        <v>497</v>
      </c>
      <c r="D4" s="56">
        <v>795</v>
      </c>
      <c r="E4" s="56">
        <v>3273</v>
      </c>
    </row>
    <row r="5" spans="1:5">
      <c r="A5" s="82"/>
      <c r="B5" s="81" t="s">
        <v>166</v>
      </c>
      <c r="C5" s="56">
        <v>496</v>
      </c>
      <c r="D5" s="56">
        <v>823</v>
      </c>
      <c r="E5" s="56">
        <v>3433</v>
      </c>
    </row>
    <row r="6" spans="1:5">
      <c r="A6" s="81"/>
      <c r="B6" s="81" t="s">
        <v>167</v>
      </c>
      <c r="C6" s="56">
        <v>431</v>
      </c>
      <c r="D6" s="56">
        <v>733</v>
      </c>
      <c r="E6" s="56">
        <v>2852</v>
      </c>
    </row>
    <row r="7" spans="1:5">
      <c r="A7" s="81"/>
      <c r="B7" s="81"/>
      <c r="C7" s="81"/>
      <c r="D7" s="81"/>
      <c r="E7" s="81"/>
    </row>
    <row r="8" spans="1:5">
      <c r="A8" s="81" t="s">
        <v>59</v>
      </c>
      <c r="B8" s="81" t="s">
        <v>164</v>
      </c>
      <c r="C8" s="56">
        <v>1227</v>
      </c>
      <c r="D8" s="56">
        <v>1431</v>
      </c>
      <c r="E8" s="56">
        <v>3564</v>
      </c>
    </row>
    <row r="9" spans="1:5">
      <c r="A9" s="81"/>
      <c r="B9" s="81" t="s">
        <v>165</v>
      </c>
      <c r="C9" s="56">
        <v>1499</v>
      </c>
      <c r="D9" s="56">
        <v>1737</v>
      </c>
      <c r="E9" s="56">
        <v>4296</v>
      </c>
    </row>
    <row r="10" spans="1:5">
      <c r="A10" s="82"/>
      <c r="B10" s="81" t="s">
        <v>166</v>
      </c>
      <c r="C10" s="56">
        <v>1884</v>
      </c>
      <c r="D10" s="56">
        <v>2119</v>
      </c>
      <c r="E10" s="56">
        <v>4770</v>
      </c>
    </row>
    <row r="11" spans="1:5">
      <c r="A11" s="81"/>
      <c r="B11" s="81" t="s">
        <v>167</v>
      </c>
      <c r="C11" s="56">
        <v>1545</v>
      </c>
      <c r="D11" s="56">
        <v>1777</v>
      </c>
      <c r="E11" s="56">
        <v>4164</v>
      </c>
    </row>
    <row r="13" spans="1:5">
      <c r="A13" s="81" t="s">
        <v>60</v>
      </c>
      <c r="B13" s="81" t="s">
        <v>164</v>
      </c>
      <c r="C13" s="56">
        <v>363</v>
      </c>
      <c r="D13" s="56">
        <v>488</v>
      </c>
      <c r="E13" s="56">
        <v>2118</v>
      </c>
    </row>
    <row r="14" spans="1:5">
      <c r="A14" s="81"/>
      <c r="B14" s="81" t="s">
        <v>165</v>
      </c>
      <c r="C14" s="56">
        <v>392</v>
      </c>
      <c r="D14" s="56">
        <v>536</v>
      </c>
      <c r="E14" s="56">
        <v>2357</v>
      </c>
    </row>
    <row r="15" spans="1:5">
      <c r="A15" s="82"/>
      <c r="B15" s="81" t="s">
        <v>166</v>
      </c>
      <c r="C15" s="56">
        <v>324</v>
      </c>
      <c r="D15" s="56">
        <v>453</v>
      </c>
      <c r="E15" s="56">
        <v>2288</v>
      </c>
    </row>
    <row r="16" spans="1:5">
      <c r="A16" s="81"/>
      <c r="B16" s="81" t="s">
        <v>167</v>
      </c>
      <c r="C16" s="56">
        <v>387</v>
      </c>
      <c r="D16" s="56">
        <v>528</v>
      </c>
      <c r="E16" s="56">
        <v>2240</v>
      </c>
    </row>
    <row r="19" spans="1:16">
      <c r="L19" s="81"/>
      <c r="M19" s="81"/>
      <c r="N19" s="56"/>
      <c r="O19" s="56"/>
      <c r="P19" s="56"/>
    </row>
    <row r="20" spans="1:16">
      <c r="L20" s="81"/>
      <c r="M20" s="81"/>
      <c r="N20" s="56"/>
      <c r="O20" s="56"/>
      <c r="P20" s="56"/>
    </row>
    <row r="21" spans="1:16" ht="128">
      <c r="C21" s="80" t="s">
        <v>171</v>
      </c>
      <c r="D21" s="80" t="s">
        <v>172</v>
      </c>
      <c r="E21" s="80" t="s">
        <v>173</v>
      </c>
      <c r="F21" s="80" t="s">
        <v>174</v>
      </c>
      <c r="G21" s="80" t="s">
        <v>175</v>
      </c>
      <c r="H21" s="80" t="s">
        <v>176</v>
      </c>
      <c r="L21" s="82"/>
      <c r="M21" s="81"/>
      <c r="N21" s="56"/>
      <c r="O21" s="56"/>
      <c r="P21" s="56"/>
    </row>
    <row r="22" spans="1:16" s="80" customFormat="1" ht="45" customHeight="1">
      <c r="C22" s="261" t="s">
        <v>334</v>
      </c>
      <c r="D22" s="261"/>
      <c r="E22" s="261" t="s">
        <v>335</v>
      </c>
      <c r="F22" s="261"/>
      <c r="G22" s="261" t="s">
        <v>336</v>
      </c>
      <c r="H22" s="261"/>
      <c r="L22" s="109"/>
      <c r="M22" s="109"/>
      <c r="N22" s="110"/>
      <c r="O22" s="110"/>
      <c r="P22" s="110"/>
    </row>
    <row r="23" spans="1:16" s="80" customFormat="1" ht="39.75" customHeight="1">
      <c r="C23" s="57" t="s">
        <v>331</v>
      </c>
      <c r="D23" s="57" t="s">
        <v>332</v>
      </c>
      <c r="E23" s="57" t="s">
        <v>331</v>
      </c>
      <c r="F23" s="57" t="s">
        <v>332</v>
      </c>
      <c r="G23" s="57" t="s">
        <v>331</v>
      </c>
      <c r="H23" s="57" t="s">
        <v>332</v>
      </c>
    </row>
    <row r="24" spans="1:16">
      <c r="A24" s="81" t="s">
        <v>58</v>
      </c>
      <c r="B24" s="81" t="s">
        <v>164</v>
      </c>
      <c r="C24" s="56">
        <v>223</v>
      </c>
      <c r="D24" s="56">
        <v>486</v>
      </c>
      <c r="E24" s="56">
        <v>1</v>
      </c>
      <c r="F24" s="56">
        <v>1</v>
      </c>
      <c r="G24" s="56">
        <v>153</v>
      </c>
      <c r="H24" s="56">
        <v>153</v>
      </c>
    </row>
    <row r="25" spans="1:16">
      <c r="A25" s="81"/>
      <c r="B25" s="81" t="s">
        <v>165</v>
      </c>
      <c r="C25" s="56">
        <v>297</v>
      </c>
      <c r="D25" s="56">
        <v>556</v>
      </c>
      <c r="E25" s="56">
        <v>3</v>
      </c>
      <c r="F25" s="56">
        <v>3</v>
      </c>
      <c r="G25" s="56">
        <v>197</v>
      </c>
      <c r="H25" s="56">
        <v>197</v>
      </c>
    </row>
    <row r="26" spans="1:16">
      <c r="A26" s="82"/>
      <c r="B26" s="81" t="s">
        <v>166</v>
      </c>
      <c r="C26" s="56">
        <v>274</v>
      </c>
      <c r="D26" s="56">
        <v>557</v>
      </c>
      <c r="E26" s="56">
        <v>2</v>
      </c>
      <c r="F26" s="56">
        <v>2</v>
      </c>
      <c r="G26" s="56">
        <v>220</v>
      </c>
      <c r="H26" s="56">
        <v>220</v>
      </c>
    </row>
    <row r="27" spans="1:16">
      <c r="A27" s="81"/>
      <c r="B27" s="81" t="s">
        <v>167</v>
      </c>
      <c r="C27" s="56">
        <v>238</v>
      </c>
      <c r="D27" s="56">
        <v>508</v>
      </c>
      <c r="E27" s="56">
        <v>2</v>
      </c>
      <c r="F27" s="56">
        <v>2</v>
      </c>
      <c r="G27" s="56">
        <v>191</v>
      </c>
      <c r="H27" s="56">
        <v>191</v>
      </c>
    </row>
    <row r="28" spans="1:16">
      <c r="A28" s="81"/>
      <c r="B28" s="81"/>
      <c r="C28" s="56"/>
      <c r="D28" s="56"/>
      <c r="E28" s="56"/>
      <c r="F28" s="56"/>
      <c r="G28" s="56"/>
      <c r="H28" s="56"/>
    </row>
    <row r="29" spans="1:16">
      <c r="A29" s="81" t="s">
        <v>59</v>
      </c>
      <c r="B29" s="81" t="s">
        <v>164</v>
      </c>
      <c r="C29" s="56">
        <v>339</v>
      </c>
      <c r="D29" s="56">
        <v>495</v>
      </c>
      <c r="E29" s="56">
        <v>12</v>
      </c>
      <c r="F29" s="56">
        <v>12</v>
      </c>
      <c r="G29" s="56">
        <v>876</v>
      </c>
      <c r="H29" s="56">
        <v>876</v>
      </c>
    </row>
    <row r="30" spans="1:16">
      <c r="A30" s="81"/>
      <c r="B30" s="81" t="s">
        <v>165</v>
      </c>
      <c r="C30" s="56">
        <v>374</v>
      </c>
      <c r="D30" s="56">
        <v>565</v>
      </c>
      <c r="E30" s="56" t="s">
        <v>255</v>
      </c>
      <c r="F30" s="56">
        <v>5</v>
      </c>
      <c r="G30" s="56">
        <v>1121</v>
      </c>
      <c r="H30" s="56">
        <v>1120</v>
      </c>
    </row>
    <row r="31" spans="1:16">
      <c r="A31" s="82"/>
      <c r="B31" s="81" t="s">
        <v>166</v>
      </c>
      <c r="C31" s="56">
        <v>456</v>
      </c>
      <c r="D31" s="56">
        <v>656</v>
      </c>
      <c r="E31" s="56">
        <v>7</v>
      </c>
      <c r="F31" s="56">
        <v>8</v>
      </c>
      <c r="G31" s="56">
        <v>1421</v>
      </c>
      <c r="H31" s="56">
        <v>1420</v>
      </c>
    </row>
    <row r="32" spans="1:16">
      <c r="A32" s="81"/>
      <c r="B32" s="81" t="s">
        <v>167</v>
      </c>
      <c r="C32" s="56">
        <v>385</v>
      </c>
      <c r="D32" s="56">
        <v>579</v>
      </c>
      <c r="E32" s="56">
        <v>8</v>
      </c>
      <c r="F32" s="56">
        <v>8</v>
      </c>
      <c r="G32" s="56">
        <v>1152</v>
      </c>
      <c r="H32" s="56">
        <v>1152</v>
      </c>
    </row>
    <row r="34" spans="1:8">
      <c r="A34" s="81" t="s">
        <v>60</v>
      </c>
      <c r="B34" s="81" t="s">
        <v>164</v>
      </c>
      <c r="C34" s="56">
        <v>210</v>
      </c>
      <c r="D34" s="56">
        <v>306</v>
      </c>
      <c r="E34" s="56">
        <v>4</v>
      </c>
      <c r="F34" s="56">
        <v>4</v>
      </c>
      <c r="G34" s="56">
        <v>149</v>
      </c>
      <c r="H34" s="56">
        <v>149</v>
      </c>
    </row>
    <row r="35" spans="1:8">
      <c r="A35" s="81"/>
      <c r="B35" s="81" t="s">
        <v>165</v>
      </c>
      <c r="C35" s="56">
        <v>203</v>
      </c>
      <c r="D35" s="56">
        <v>311</v>
      </c>
      <c r="E35" s="56">
        <v>3</v>
      </c>
      <c r="F35" s="56">
        <v>3</v>
      </c>
      <c r="G35" s="56">
        <v>186</v>
      </c>
      <c r="H35" s="56">
        <v>186</v>
      </c>
    </row>
    <row r="36" spans="1:8">
      <c r="A36" s="82"/>
      <c r="B36" s="81" t="s">
        <v>166</v>
      </c>
      <c r="C36" s="56">
        <v>174</v>
      </c>
      <c r="D36" s="56">
        <v>266</v>
      </c>
      <c r="E36" s="56">
        <v>5</v>
      </c>
      <c r="F36" s="56">
        <v>5</v>
      </c>
      <c r="G36" s="56">
        <v>145</v>
      </c>
      <c r="H36" s="56">
        <v>145</v>
      </c>
    </row>
    <row r="37" spans="1:8">
      <c r="A37" s="81"/>
      <c r="B37" s="81" t="s">
        <v>167</v>
      </c>
      <c r="C37" s="56">
        <v>205</v>
      </c>
      <c r="D37" s="56">
        <v>321</v>
      </c>
      <c r="E37" s="56">
        <v>4</v>
      </c>
      <c r="F37" s="56">
        <v>4</v>
      </c>
      <c r="G37" s="56">
        <v>178</v>
      </c>
      <c r="H37" s="56">
        <v>178</v>
      </c>
    </row>
    <row r="43" spans="1:8" ht="144">
      <c r="C43" s="80" t="s">
        <v>177</v>
      </c>
      <c r="D43" s="80" t="s">
        <v>178</v>
      </c>
      <c r="E43" s="80" t="s">
        <v>179</v>
      </c>
    </row>
    <row r="44" spans="1:8" ht="28">
      <c r="C44" s="54" t="s">
        <v>331</v>
      </c>
      <c r="D44" s="54" t="s">
        <v>332</v>
      </c>
      <c r="E44" s="57" t="s">
        <v>333</v>
      </c>
    </row>
    <row r="45" spans="1:8">
      <c r="A45" s="81" t="s">
        <v>58</v>
      </c>
      <c r="B45" s="81" t="s">
        <v>164</v>
      </c>
      <c r="C45" s="56">
        <v>86</v>
      </c>
      <c r="D45" s="56">
        <v>128</v>
      </c>
      <c r="E45" s="56">
        <v>4361</v>
      </c>
    </row>
    <row r="46" spans="1:8">
      <c r="A46" s="81"/>
      <c r="B46" s="81" t="s">
        <v>165</v>
      </c>
      <c r="C46" s="56">
        <v>72</v>
      </c>
      <c r="D46" s="56">
        <v>117</v>
      </c>
      <c r="E46" s="56">
        <v>5179</v>
      </c>
    </row>
    <row r="47" spans="1:8">
      <c r="A47" s="82"/>
      <c r="B47" s="81" t="s">
        <v>166</v>
      </c>
      <c r="C47" s="56">
        <v>72</v>
      </c>
      <c r="D47" s="56">
        <v>118</v>
      </c>
      <c r="E47" s="56">
        <v>4945</v>
      </c>
    </row>
    <row r="48" spans="1:8">
      <c r="A48" s="81"/>
      <c r="B48" s="81" t="s">
        <v>167</v>
      </c>
      <c r="C48" s="56">
        <v>63</v>
      </c>
      <c r="D48" s="56">
        <v>113</v>
      </c>
      <c r="E48" s="56">
        <v>3993</v>
      </c>
    </row>
    <row r="49" spans="1:5">
      <c r="A49" s="81"/>
      <c r="B49" s="81"/>
    </row>
    <row r="50" spans="1:5">
      <c r="A50" s="81" t="s">
        <v>59</v>
      </c>
      <c r="B50" s="81" t="s">
        <v>164</v>
      </c>
      <c r="C50" s="56">
        <v>69</v>
      </c>
      <c r="D50" s="56">
        <v>79</v>
      </c>
      <c r="E50" s="56">
        <v>2181</v>
      </c>
    </row>
    <row r="51" spans="1:5">
      <c r="A51" s="81"/>
      <c r="B51" s="81" t="s">
        <v>165</v>
      </c>
      <c r="C51" s="56">
        <v>51</v>
      </c>
      <c r="D51" s="56">
        <v>57</v>
      </c>
      <c r="E51" s="56">
        <v>2544</v>
      </c>
    </row>
    <row r="52" spans="1:5">
      <c r="A52" s="82"/>
      <c r="B52" s="81" t="s">
        <v>166</v>
      </c>
      <c r="C52" s="56">
        <v>55</v>
      </c>
      <c r="D52" s="56">
        <v>69</v>
      </c>
      <c r="E52" s="56">
        <v>3017</v>
      </c>
    </row>
    <row r="53" spans="1:5">
      <c r="A53" s="81"/>
      <c r="B53" s="81" t="s">
        <v>167</v>
      </c>
      <c r="C53" s="56">
        <v>59</v>
      </c>
      <c r="D53" s="56">
        <v>72</v>
      </c>
      <c r="E53" s="56">
        <v>2865</v>
      </c>
    </row>
    <row r="55" spans="1:5">
      <c r="A55" s="81" t="s">
        <v>60</v>
      </c>
      <c r="B55" s="81" t="s">
        <v>164</v>
      </c>
      <c r="C55" s="56">
        <v>18</v>
      </c>
      <c r="D55" s="56">
        <v>25</v>
      </c>
      <c r="E55" s="56">
        <v>1320</v>
      </c>
    </row>
    <row r="56" spans="1:5">
      <c r="A56" s="81"/>
      <c r="B56" s="81" t="s">
        <v>165</v>
      </c>
      <c r="C56" s="56">
        <v>14</v>
      </c>
      <c r="D56" s="56">
        <v>22</v>
      </c>
      <c r="E56" s="56">
        <v>1436</v>
      </c>
    </row>
    <row r="57" spans="1:5">
      <c r="A57" s="82"/>
      <c r="B57" s="81" t="s">
        <v>166</v>
      </c>
      <c r="C57" s="56">
        <v>12</v>
      </c>
      <c r="D57" s="56">
        <v>22</v>
      </c>
      <c r="E57" s="56">
        <v>1348</v>
      </c>
    </row>
    <row r="58" spans="1:5">
      <c r="A58" s="81"/>
      <c r="B58" s="81" t="s">
        <v>167</v>
      </c>
      <c r="C58" s="56">
        <v>24</v>
      </c>
      <c r="D58" s="56">
        <v>39</v>
      </c>
      <c r="E58" s="56">
        <v>1327</v>
      </c>
    </row>
    <row r="64" spans="1:5" ht="144">
      <c r="C64" s="80" t="s">
        <v>180</v>
      </c>
      <c r="D64" s="80" t="s">
        <v>181</v>
      </c>
      <c r="E64" s="80" t="s">
        <v>182</v>
      </c>
    </row>
    <row r="65" spans="1:5" s="80" customFormat="1" ht="28">
      <c r="B65" s="57"/>
      <c r="C65" s="54" t="s">
        <v>331</v>
      </c>
      <c r="D65" s="54" t="s">
        <v>332</v>
      </c>
      <c r="E65" s="57" t="s">
        <v>333</v>
      </c>
    </row>
    <row r="66" spans="1:5">
      <c r="A66" s="81" t="s">
        <v>58</v>
      </c>
      <c r="B66" s="81" t="s">
        <v>164</v>
      </c>
      <c r="C66" s="56">
        <v>62</v>
      </c>
      <c r="D66" s="56">
        <v>76</v>
      </c>
      <c r="E66" s="56">
        <v>76</v>
      </c>
    </row>
    <row r="67" spans="1:5">
      <c r="A67" s="81"/>
      <c r="B67" s="81" t="s">
        <v>165</v>
      </c>
      <c r="C67" s="56">
        <v>57</v>
      </c>
      <c r="D67" s="56">
        <v>70</v>
      </c>
      <c r="E67" s="56">
        <v>70</v>
      </c>
    </row>
    <row r="68" spans="1:5">
      <c r="A68" s="82"/>
      <c r="B68" s="81" t="s">
        <v>166</v>
      </c>
      <c r="C68" s="56">
        <v>70</v>
      </c>
      <c r="D68" s="56">
        <v>86</v>
      </c>
      <c r="E68" s="56">
        <v>86</v>
      </c>
    </row>
    <row r="69" spans="1:5">
      <c r="A69" s="81"/>
      <c r="B69" s="81" t="s">
        <v>167</v>
      </c>
      <c r="C69" s="56">
        <v>55</v>
      </c>
      <c r="D69" s="56">
        <v>70</v>
      </c>
      <c r="E69" s="56">
        <v>70</v>
      </c>
    </row>
    <row r="70" spans="1:5">
      <c r="A70" s="81"/>
      <c r="B70" s="81"/>
    </row>
    <row r="71" spans="1:5">
      <c r="A71" s="81" t="s">
        <v>59</v>
      </c>
      <c r="B71" s="81" t="s">
        <v>164</v>
      </c>
      <c r="C71" s="56">
        <v>90</v>
      </c>
      <c r="D71" s="56">
        <v>116</v>
      </c>
      <c r="E71" s="56">
        <v>116</v>
      </c>
    </row>
    <row r="72" spans="1:5">
      <c r="A72" s="81"/>
      <c r="B72" s="81" t="s">
        <v>165</v>
      </c>
      <c r="C72" s="56">
        <v>111</v>
      </c>
      <c r="D72" s="56">
        <v>134</v>
      </c>
      <c r="E72" s="56">
        <v>134</v>
      </c>
    </row>
    <row r="73" spans="1:5">
      <c r="A73" s="82"/>
      <c r="B73" s="81" t="s">
        <v>166</v>
      </c>
      <c r="C73" s="56">
        <v>119</v>
      </c>
      <c r="D73" s="56">
        <v>155</v>
      </c>
      <c r="E73" s="56">
        <v>155</v>
      </c>
    </row>
    <row r="74" spans="1:5">
      <c r="A74" s="81"/>
      <c r="B74" s="81" t="s">
        <v>167</v>
      </c>
      <c r="C74" s="56">
        <v>126</v>
      </c>
      <c r="D74" s="56">
        <v>152</v>
      </c>
      <c r="E74" s="56">
        <v>152</v>
      </c>
    </row>
    <row r="76" spans="1:5">
      <c r="A76" s="81" t="s">
        <v>60</v>
      </c>
      <c r="B76" s="81" t="s">
        <v>164</v>
      </c>
      <c r="C76" s="56">
        <v>53</v>
      </c>
      <c r="D76" s="56">
        <v>63</v>
      </c>
      <c r="E76" s="56">
        <v>63</v>
      </c>
    </row>
    <row r="77" spans="1:5">
      <c r="A77" s="81"/>
      <c r="B77" s="81" t="s">
        <v>165</v>
      </c>
      <c r="C77" s="56">
        <v>56</v>
      </c>
      <c r="D77" s="56">
        <v>67</v>
      </c>
      <c r="E77" s="56">
        <v>67</v>
      </c>
    </row>
    <row r="78" spans="1:5">
      <c r="A78" s="82"/>
      <c r="B78" s="81" t="s">
        <v>166</v>
      </c>
      <c r="C78" s="56">
        <v>61</v>
      </c>
      <c r="D78" s="56">
        <v>69</v>
      </c>
      <c r="E78" s="56">
        <v>69</v>
      </c>
    </row>
    <row r="79" spans="1:5">
      <c r="A79" s="81"/>
      <c r="B79" s="81" t="s">
        <v>167</v>
      </c>
      <c r="C79" s="56">
        <v>55</v>
      </c>
      <c r="D79" s="56">
        <v>65</v>
      </c>
      <c r="E79" s="56">
        <v>65</v>
      </c>
    </row>
    <row r="82" spans="1:5" ht="144">
      <c r="C82" s="80" t="s">
        <v>183</v>
      </c>
      <c r="D82" s="80" t="s">
        <v>184</v>
      </c>
      <c r="E82" s="80" t="s">
        <v>185</v>
      </c>
    </row>
    <row r="83" spans="1:5" ht="28">
      <c r="C83" s="54" t="s">
        <v>331</v>
      </c>
      <c r="D83" s="54" t="s">
        <v>332</v>
      </c>
      <c r="E83" s="57" t="s">
        <v>333</v>
      </c>
    </row>
    <row r="84" spans="1:5">
      <c r="A84" s="81" t="s">
        <v>58</v>
      </c>
      <c r="B84" s="81" t="s">
        <v>164</v>
      </c>
      <c r="C84" s="56">
        <v>15</v>
      </c>
      <c r="D84" s="56">
        <v>23</v>
      </c>
      <c r="E84" s="56">
        <v>753</v>
      </c>
    </row>
    <row r="85" spans="1:5">
      <c r="A85" s="81"/>
      <c r="B85" s="81" t="s">
        <v>165</v>
      </c>
      <c r="C85" s="56">
        <v>28</v>
      </c>
      <c r="D85" s="56">
        <v>33</v>
      </c>
      <c r="E85" s="56">
        <v>891</v>
      </c>
    </row>
    <row r="86" spans="1:5">
      <c r="A86" s="82"/>
      <c r="B86" s="81" t="s">
        <v>166</v>
      </c>
      <c r="C86" s="56">
        <v>27</v>
      </c>
      <c r="D86" s="56">
        <v>28</v>
      </c>
      <c r="E86" s="56">
        <v>920</v>
      </c>
    </row>
    <row r="87" spans="1:5">
      <c r="A87" s="81"/>
      <c r="B87" s="81" t="s">
        <v>167</v>
      </c>
      <c r="C87" s="56">
        <v>18</v>
      </c>
      <c r="D87" s="56">
        <v>21</v>
      </c>
      <c r="E87" s="56">
        <v>861</v>
      </c>
    </row>
    <row r="88" spans="1:5">
      <c r="A88" s="81"/>
      <c r="B88" s="81"/>
    </row>
    <row r="89" spans="1:5">
      <c r="A89" s="81" t="s">
        <v>59</v>
      </c>
      <c r="B89" s="81" t="s">
        <v>164</v>
      </c>
      <c r="C89" s="56">
        <v>25</v>
      </c>
      <c r="D89" s="56">
        <v>29</v>
      </c>
      <c r="E89" s="56">
        <v>742</v>
      </c>
    </row>
    <row r="90" spans="1:5">
      <c r="A90" s="81"/>
      <c r="B90" s="81" t="s">
        <v>165</v>
      </c>
      <c r="C90" s="56">
        <v>30</v>
      </c>
      <c r="D90" s="56">
        <v>36</v>
      </c>
      <c r="E90" s="56">
        <v>896</v>
      </c>
    </row>
    <row r="91" spans="1:5">
      <c r="A91" s="82"/>
      <c r="B91" s="81" t="s">
        <v>166</v>
      </c>
      <c r="C91" s="56">
        <v>29</v>
      </c>
      <c r="D91" s="56">
        <v>31</v>
      </c>
      <c r="E91" s="56">
        <v>1101</v>
      </c>
    </row>
    <row r="92" spans="1:5">
      <c r="A92" s="81"/>
      <c r="B92" s="81" t="s">
        <v>167</v>
      </c>
      <c r="C92" s="56">
        <v>30</v>
      </c>
      <c r="D92" s="56">
        <v>34</v>
      </c>
      <c r="E92" s="56">
        <v>1035</v>
      </c>
    </row>
    <row r="94" spans="1:5">
      <c r="A94" s="81" t="s">
        <v>60</v>
      </c>
      <c r="B94" s="81" t="s">
        <v>164</v>
      </c>
      <c r="C94" s="56">
        <v>20</v>
      </c>
      <c r="D94" s="56">
        <v>21</v>
      </c>
      <c r="E94" s="56">
        <v>428</v>
      </c>
    </row>
    <row r="95" spans="1:5">
      <c r="A95" s="81"/>
      <c r="B95" s="81" t="s">
        <v>165</v>
      </c>
      <c r="C95" s="56">
        <v>19</v>
      </c>
      <c r="D95" s="56">
        <v>20</v>
      </c>
      <c r="E95" s="56">
        <v>491</v>
      </c>
    </row>
    <row r="96" spans="1:5">
      <c r="A96" s="82"/>
      <c r="B96" s="81" t="s">
        <v>166</v>
      </c>
      <c r="C96" s="56">
        <v>11</v>
      </c>
      <c r="D96" s="56">
        <v>14</v>
      </c>
      <c r="E96" s="56">
        <v>481</v>
      </c>
    </row>
    <row r="97" spans="1:5">
      <c r="A97" s="81"/>
      <c r="B97" s="81" t="s">
        <v>167</v>
      </c>
      <c r="C97" s="56">
        <v>10</v>
      </c>
      <c r="D97" s="56">
        <v>11</v>
      </c>
      <c r="E97" s="56">
        <v>459</v>
      </c>
    </row>
    <row r="106" spans="1:5" ht="126">
      <c r="C106" s="57" t="s">
        <v>186</v>
      </c>
      <c r="D106" s="57" t="s">
        <v>187</v>
      </c>
      <c r="E106" s="80"/>
    </row>
    <row r="107" spans="1:5">
      <c r="C107" s="54" t="s">
        <v>331</v>
      </c>
      <c r="D107" s="54" t="s">
        <v>332</v>
      </c>
    </row>
    <row r="108" spans="1:5">
      <c r="A108" s="81" t="s">
        <v>58</v>
      </c>
      <c r="B108" s="81" t="s">
        <v>164</v>
      </c>
      <c r="C108" s="56">
        <v>207</v>
      </c>
      <c r="D108" s="56">
        <v>255</v>
      </c>
    </row>
    <row r="109" spans="1:5">
      <c r="A109" s="81"/>
      <c r="B109" s="81" t="s">
        <v>165</v>
      </c>
      <c r="C109" s="56">
        <v>259</v>
      </c>
      <c r="D109" s="56">
        <v>319</v>
      </c>
    </row>
    <row r="110" spans="1:5">
      <c r="A110" s="82"/>
      <c r="B110" s="81" t="s">
        <v>166</v>
      </c>
      <c r="C110" s="56">
        <v>252</v>
      </c>
      <c r="D110" s="56">
        <v>321</v>
      </c>
    </row>
    <row r="111" spans="1:5">
      <c r="A111" s="81"/>
      <c r="B111" s="81" t="s">
        <v>167</v>
      </c>
      <c r="C111" s="56">
        <v>197</v>
      </c>
      <c r="D111" s="56">
        <v>240</v>
      </c>
    </row>
    <row r="112" spans="1:5">
      <c r="A112" s="81"/>
      <c r="B112" s="81"/>
    </row>
    <row r="113" spans="1:4">
      <c r="A113" s="81" t="s">
        <v>59</v>
      </c>
      <c r="B113" s="81" t="s">
        <v>164</v>
      </c>
      <c r="C113" s="56">
        <v>248</v>
      </c>
      <c r="D113" s="56">
        <v>296</v>
      </c>
    </row>
    <row r="114" spans="1:4">
      <c r="A114" s="81"/>
      <c r="B114" s="81" t="s">
        <v>165</v>
      </c>
      <c r="C114" s="56">
        <v>271</v>
      </c>
      <c r="D114" s="56">
        <v>317</v>
      </c>
    </row>
    <row r="115" spans="1:4">
      <c r="A115" s="82"/>
      <c r="B115" s="81" t="s">
        <v>166</v>
      </c>
      <c r="C115" s="56">
        <v>240</v>
      </c>
      <c r="D115" s="56">
        <v>279</v>
      </c>
    </row>
    <row r="116" spans="1:4">
      <c r="A116" s="81"/>
      <c r="B116" s="81" t="s">
        <v>167</v>
      </c>
      <c r="C116" s="56">
        <v>228</v>
      </c>
      <c r="D116" s="56">
        <v>265</v>
      </c>
    </row>
    <row r="118" spans="1:4">
      <c r="A118" s="81" t="s">
        <v>60</v>
      </c>
      <c r="B118" s="81" t="s">
        <v>164</v>
      </c>
      <c r="C118" s="56">
        <v>127</v>
      </c>
      <c r="D118" s="56">
        <v>168</v>
      </c>
    </row>
    <row r="119" spans="1:4">
      <c r="A119" s="81"/>
      <c r="B119" s="81" t="s">
        <v>165</v>
      </c>
      <c r="C119" s="56">
        <v>139</v>
      </c>
      <c r="D119" s="56">
        <v>176</v>
      </c>
    </row>
    <row r="120" spans="1:4">
      <c r="A120" s="82"/>
      <c r="B120" s="81" t="s">
        <v>166</v>
      </c>
      <c r="C120" s="56">
        <v>129</v>
      </c>
      <c r="D120" s="56">
        <v>164</v>
      </c>
    </row>
    <row r="121" spans="1:4">
      <c r="A121" s="81"/>
      <c r="B121" s="81" t="s">
        <v>167</v>
      </c>
      <c r="C121" s="56">
        <v>136</v>
      </c>
      <c r="D121" s="56">
        <v>162</v>
      </c>
    </row>
  </sheetData>
  <mergeCells count="3">
    <mergeCell ref="C22:D22"/>
    <mergeCell ref="E22:F22"/>
    <mergeCell ref="G22:H2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42"/>
  <sheetViews>
    <sheetView zoomScale="90" zoomScaleNormal="90" workbookViewId="0">
      <selection activeCell="A15" sqref="A15"/>
    </sheetView>
  </sheetViews>
  <sheetFormatPr baseColWidth="10" defaultColWidth="10.6640625" defaultRowHeight="15"/>
  <cols>
    <col min="1" max="1" width="112" style="52" bestFit="1" customWidth="1"/>
    <col min="2" max="2" width="3" style="52" bestFit="1" customWidth="1"/>
    <col min="3" max="6" width="8" style="65" customWidth="1"/>
    <col min="7" max="7" width="6" style="65" customWidth="1"/>
    <col min="8" max="12" width="10.6640625" style="52" customWidth="1"/>
    <col min="13" max="16384" width="10.6640625" style="52"/>
  </cols>
  <sheetData>
    <row r="1" spans="1:62" ht="12" customHeight="1"/>
    <row r="2" spans="1:62" ht="14" customHeight="1">
      <c r="A2" s="255"/>
      <c r="B2" s="256"/>
      <c r="C2" s="256"/>
      <c r="D2" s="256"/>
      <c r="E2" s="256"/>
      <c r="F2" s="256"/>
      <c r="G2" s="256"/>
    </row>
    <row r="3" spans="1:62" ht="12" customHeight="1"/>
    <row r="4" spans="1:62" ht="16.25" customHeight="1">
      <c r="A4" s="257" t="s">
        <v>222</v>
      </c>
      <c r="B4" s="256"/>
      <c r="C4" s="256"/>
      <c r="D4" s="256"/>
      <c r="E4" s="256"/>
      <c r="F4" s="256"/>
      <c r="G4" s="256"/>
    </row>
    <row r="5" spans="1:62" ht="12" customHeight="1">
      <c r="E5" s="65" t="s">
        <v>58</v>
      </c>
      <c r="H5" s="253" t="str">
        <f>Table_4.0_Information!$A$5</f>
        <v>Kentucky</v>
      </c>
      <c r="I5" s="253"/>
      <c r="J5" s="253"/>
      <c r="K5" s="253"/>
      <c r="L5" s="253"/>
      <c r="M5" s="253" t="str">
        <f>Table_4.0_Information!$A$6</f>
        <v>New Mexico</v>
      </c>
      <c r="N5" s="253"/>
      <c r="O5" s="253"/>
      <c r="P5" s="253"/>
      <c r="Q5" s="253"/>
      <c r="R5" s="253" t="str">
        <f>Table_4.0_Information!$A$7</f>
        <v>4 add state in table 0</v>
      </c>
      <c r="S5" s="253"/>
      <c r="T5" s="253"/>
      <c r="U5" s="253"/>
      <c r="V5" s="253"/>
      <c r="W5" s="253" t="str">
        <f>Table_4.0_Information!$A$8</f>
        <v>5 add state in table 0</v>
      </c>
      <c r="X5" s="253"/>
      <c r="Y5" s="253"/>
      <c r="Z5" s="253"/>
      <c r="AA5" s="253"/>
      <c r="AB5" s="253" t="str">
        <f>Table_4.0_Information!$A$9</f>
        <v>6 add state in table 0</v>
      </c>
      <c r="AC5" s="253"/>
      <c r="AD5" s="253"/>
      <c r="AE5" s="253"/>
      <c r="AF5" s="253"/>
      <c r="AG5" s="253" t="str">
        <f>Table_4.0_Information!$A$10</f>
        <v>7 add state in table 0</v>
      </c>
      <c r="AH5" s="253"/>
      <c r="AI5" s="253"/>
      <c r="AJ5" s="253"/>
      <c r="AK5" s="253"/>
      <c r="AL5" s="253" t="str">
        <f>Table_4.0_Information!$A$11</f>
        <v>8 add state in table 0</v>
      </c>
      <c r="AM5" s="253"/>
      <c r="AN5" s="253"/>
      <c r="AO5" s="253"/>
      <c r="AP5" s="253"/>
      <c r="AQ5" s="253" t="str">
        <f>Table_4.0_Information!$A$12</f>
        <v>9 add state in table 0</v>
      </c>
      <c r="AR5" s="253"/>
      <c r="AS5" s="253"/>
      <c r="AT5" s="253"/>
      <c r="AU5" s="253"/>
      <c r="AV5" s="253" t="str">
        <f>Table_4.0_Information!$A$13</f>
        <v>10 add state in table 0</v>
      </c>
      <c r="AW5" s="253"/>
      <c r="AX5" s="253"/>
      <c r="AY5" s="253"/>
      <c r="AZ5" s="253"/>
      <c r="BA5" s="253" t="str">
        <f>Table_4.0_Information!$A$14</f>
        <v>11 add state in table 0</v>
      </c>
      <c r="BB5" s="253"/>
      <c r="BC5" s="253"/>
      <c r="BD5" s="253"/>
      <c r="BE5" s="253"/>
      <c r="BF5" s="253" t="str">
        <f>Table_4.0_Information!$A$15</f>
        <v>12 add state in table 0</v>
      </c>
      <c r="BG5" s="253"/>
      <c r="BH5" s="253"/>
      <c r="BI5" s="253"/>
      <c r="BJ5" s="253"/>
    </row>
    <row r="6" spans="1:62" ht="14" customHeight="1">
      <c r="A6" s="258" t="s">
        <v>162</v>
      </c>
      <c r="B6" s="258"/>
      <c r="C6" s="254" t="s">
        <v>163</v>
      </c>
      <c r="D6" s="254"/>
      <c r="E6" s="254"/>
      <c r="F6" s="254"/>
      <c r="G6" s="254" t="s">
        <v>80</v>
      </c>
      <c r="H6" s="254" t="s">
        <v>163</v>
      </c>
      <c r="I6" s="254"/>
      <c r="J6" s="254"/>
      <c r="K6" s="254"/>
      <c r="L6" s="254" t="s">
        <v>80</v>
      </c>
      <c r="M6" s="254" t="s">
        <v>163</v>
      </c>
      <c r="N6" s="254"/>
      <c r="O6" s="254"/>
      <c r="P6" s="254"/>
      <c r="Q6" s="254" t="s">
        <v>80</v>
      </c>
      <c r="R6" s="254" t="s">
        <v>163</v>
      </c>
      <c r="S6" s="254"/>
      <c r="T6" s="254"/>
      <c r="U6" s="254"/>
      <c r="V6" s="254" t="s">
        <v>80</v>
      </c>
      <c r="W6" s="254" t="s">
        <v>163</v>
      </c>
      <c r="X6" s="254"/>
      <c r="Y6" s="254"/>
      <c r="Z6" s="254"/>
      <c r="AA6" s="254" t="s">
        <v>80</v>
      </c>
      <c r="AB6" s="254" t="s">
        <v>163</v>
      </c>
      <c r="AC6" s="254"/>
      <c r="AD6" s="254"/>
      <c r="AE6" s="254"/>
      <c r="AF6" s="254" t="s">
        <v>80</v>
      </c>
      <c r="AG6" s="254" t="s">
        <v>163</v>
      </c>
      <c r="AH6" s="254"/>
      <c r="AI6" s="254"/>
      <c r="AJ6" s="254"/>
      <c r="AK6" s="254" t="s">
        <v>80</v>
      </c>
      <c r="AL6" s="254" t="s">
        <v>163</v>
      </c>
      <c r="AM6" s="254"/>
      <c r="AN6" s="254"/>
      <c r="AO6" s="254"/>
      <c r="AP6" s="254" t="s">
        <v>80</v>
      </c>
      <c r="AQ6" s="254" t="s">
        <v>163</v>
      </c>
      <c r="AR6" s="254"/>
      <c r="AS6" s="254"/>
      <c r="AT6" s="254"/>
      <c r="AU6" s="254" t="s">
        <v>80</v>
      </c>
      <c r="AV6" s="254" t="s">
        <v>163</v>
      </c>
      <c r="AW6" s="254"/>
      <c r="AX6" s="254"/>
      <c r="AY6" s="254"/>
      <c r="AZ6" s="254" t="s">
        <v>80</v>
      </c>
      <c r="BA6" s="254" t="s">
        <v>163</v>
      </c>
      <c r="BB6" s="254"/>
      <c r="BC6" s="254"/>
      <c r="BD6" s="254"/>
      <c r="BE6" s="254" t="s">
        <v>80</v>
      </c>
      <c r="BF6" s="254" t="s">
        <v>163</v>
      </c>
      <c r="BG6" s="254"/>
      <c r="BH6" s="254"/>
      <c r="BI6" s="254"/>
      <c r="BJ6" s="254" t="s">
        <v>80</v>
      </c>
    </row>
    <row r="7" spans="1:62" ht="14" customHeight="1">
      <c r="A7" s="258"/>
      <c r="B7" s="258"/>
      <c r="C7" s="53" t="s">
        <v>164</v>
      </c>
      <c r="D7" s="53" t="s">
        <v>165</v>
      </c>
      <c r="E7" s="53" t="s">
        <v>166</v>
      </c>
      <c r="F7" s="53" t="s">
        <v>167</v>
      </c>
      <c r="G7" s="254"/>
      <c r="H7" s="53" t="s">
        <v>164</v>
      </c>
      <c r="I7" s="53" t="s">
        <v>165</v>
      </c>
      <c r="J7" s="53" t="s">
        <v>166</v>
      </c>
      <c r="K7" s="53" t="s">
        <v>167</v>
      </c>
      <c r="L7" s="254"/>
      <c r="M7" s="53" t="s">
        <v>164</v>
      </c>
      <c r="N7" s="53" t="s">
        <v>165</v>
      </c>
      <c r="O7" s="53" t="s">
        <v>166</v>
      </c>
      <c r="P7" s="53" t="s">
        <v>167</v>
      </c>
      <c r="Q7" s="254"/>
      <c r="R7" s="53" t="s">
        <v>164</v>
      </c>
      <c r="S7" s="53" t="s">
        <v>165</v>
      </c>
      <c r="T7" s="53" t="s">
        <v>166</v>
      </c>
      <c r="U7" s="53" t="s">
        <v>167</v>
      </c>
      <c r="V7" s="254"/>
      <c r="W7" s="53" t="s">
        <v>164</v>
      </c>
      <c r="X7" s="53" t="s">
        <v>165</v>
      </c>
      <c r="Y7" s="53" t="s">
        <v>166</v>
      </c>
      <c r="Z7" s="53" t="s">
        <v>167</v>
      </c>
      <c r="AA7" s="254"/>
      <c r="AB7" s="53" t="s">
        <v>164</v>
      </c>
      <c r="AC7" s="53" t="s">
        <v>165</v>
      </c>
      <c r="AD7" s="53" t="s">
        <v>166</v>
      </c>
      <c r="AE7" s="53" t="s">
        <v>167</v>
      </c>
      <c r="AF7" s="254"/>
      <c r="AG7" s="53" t="s">
        <v>164</v>
      </c>
      <c r="AH7" s="53" t="s">
        <v>165</v>
      </c>
      <c r="AI7" s="53" t="s">
        <v>166</v>
      </c>
      <c r="AJ7" s="53" t="s">
        <v>167</v>
      </c>
      <c r="AK7" s="254"/>
      <c r="AL7" s="53" t="s">
        <v>164</v>
      </c>
      <c r="AM7" s="53" t="s">
        <v>165</v>
      </c>
      <c r="AN7" s="53" t="s">
        <v>166</v>
      </c>
      <c r="AO7" s="53" t="s">
        <v>167</v>
      </c>
      <c r="AP7" s="254"/>
      <c r="AQ7" s="53" t="s">
        <v>164</v>
      </c>
      <c r="AR7" s="53" t="s">
        <v>165</v>
      </c>
      <c r="AS7" s="53" t="s">
        <v>166</v>
      </c>
      <c r="AT7" s="53" t="s">
        <v>167</v>
      </c>
      <c r="AU7" s="254"/>
      <c r="AV7" s="53" t="s">
        <v>164</v>
      </c>
      <c r="AW7" s="53" t="s">
        <v>165</v>
      </c>
      <c r="AX7" s="53" t="s">
        <v>166</v>
      </c>
      <c r="AY7" s="53" t="s">
        <v>167</v>
      </c>
      <c r="AZ7" s="254"/>
      <c r="BA7" s="53" t="s">
        <v>164</v>
      </c>
      <c r="BB7" s="53" t="s">
        <v>165</v>
      </c>
      <c r="BC7" s="53" t="s">
        <v>166</v>
      </c>
      <c r="BD7" s="53" t="s">
        <v>167</v>
      </c>
      <c r="BE7" s="254"/>
      <c r="BF7" s="53" t="s">
        <v>164</v>
      </c>
      <c r="BG7" s="53" t="s">
        <v>165</v>
      </c>
      <c r="BH7" s="53" t="s">
        <v>166</v>
      </c>
      <c r="BI7" s="53" t="s">
        <v>167</v>
      </c>
      <c r="BJ7" s="254"/>
    </row>
    <row r="8" spans="1:62" ht="14" customHeight="1">
      <c r="A8" s="54" t="s">
        <v>188</v>
      </c>
      <c r="B8" s="55" t="s">
        <v>162</v>
      </c>
      <c r="C8" s="56">
        <v>2101</v>
      </c>
      <c r="D8" s="56">
        <v>2338</v>
      </c>
      <c r="E8" s="56">
        <v>2330</v>
      </c>
      <c r="F8" s="56">
        <v>2292</v>
      </c>
      <c r="G8" s="56">
        <v>9061</v>
      </c>
      <c r="H8" s="56">
        <v>2875</v>
      </c>
      <c r="I8" s="56">
        <v>3304</v>
      </c>
      <c r="J8" s="56">
        <v>3713</v>
      </c>
      <c r="K8" s="56">
        <v>3228</v>
      </c>
      <c r="L8" s="56">
        <f>SUM(H8:K8)</f>
        <v>13120</v>
      </c>
      <c r="M8" s="56">
        <v>1128</v>
      </c>
      <c r="N8" s="56">
        <v>1264</v>
      </c>
      <c r="O8" s="56">
        <v>1140</v>
      </c>
      <c r="P8" s="56">
        <v>1130</v>
      </c>
      <c r="Q8" s="56">
        <v>4662</v>
      </c>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row>
    <row r="9" spans="1:62" ht="29" customHeight="1">
      <c r="A9" s="57" t="s">
        <v>189</v>
      </c>
      <c r="B9" s="55" t="s">
        <v>162</v>
      </c>
      <c r="C9" s="56">
        <v>222</v>
      </c>
      <c r="D9" s="56">
        <v>296</v>
      </c>
      <c r="E9" s="56">
        <v>273</v>
      </c>
      <c r="F9" s="56">
        <v>238</v>
      </c>
      <c r="G9" s="56">
        <v>1029</v>
      </c>
      <c r="H9" s="56">
        <v>337</v>
      </c>
      <c r="I9" s="56">
        <v>368</v>
      </c>
      <c r="J9" s="56">
        <v>456</v>
      </c>
      <c r="K9" s="56">
        <v>385</v>
      </c>
      <c r="L9" s="56">
        <f t="shared" ref="L9:L10" si="0">SUM(H9:K9)</f>
        <v>1546</v>
      </c>
      <c r="M9" s="56">
        <v>207</v>
      </c>
      <c r="N9" s="56">
        <v>200</v>
      </c>
      <c r="O9" s="56">
        <v>174</v>
      </c>
      <c r="P9" s="56">
        <v>204</v>
      </c>
      <c r="Q9" s="56">
        <v>785</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row>
    <row r="10" spans="1:62" ht="14" customHeight="1">
      <c r="A10" s="54" t="s">
        <v>190</v>
      </c>
      <c r="B10" s="55" t="s">
        <v>162</v>
      </c>
      <c r="C10" s="56">
        <v>154</v>
      </c>
      <c r="D10" s="56">
        <v>199</v>
      </c>
      <c r="E10" s="56">
        <v>221</v>
      </c>
      <c r="F10" s="56">
        <v>193</v>
      </c>
      <c r="G10" s="56">
        <v>767</v>
      </c>
      <c r="H10" s="56">
        <v>883</v>
      </c>
      <c r="I10" s="56">
        <v>1114</v>
      </c>
      <c r="J10" s="56">
        <v>1416</v>
      </c>
      <c r="K10" s="56">
        <v>1153</v>
      </c>
      <c r="L10" s="56">
        <f t="shared" si="0"/>
        <v>4566</v>
      </c>
      <c r="M10" s="56">
        <v>149</v>
      </c>
      <c r="N10" s="56">
        <v>186</v>
      </c>
      <c r="O10" s="56">
        <v>150</v>
      </c>
      <c r="P10" s="56">
        <v>182</v>
      </c>
      <c r="Q10" s="56">
        <v>667</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row>
    <row r="11" spans="1:62" ht="12" customHeight="1"/>
    <row r="12" spans="1:62" ht="14" customHeight="1">
      <c r="A12" s="255"/>
      <c r="B12" s="256"/>
      <c r="C12" s="256"/>
      <c r="D12" s="256"/>
      <c r="E12" s="256"/>
      <c r="F12" s="256"/>
      <c r="G12" s="256"/>
    </row>
    <row r="13" spans="1:62" ht="12" customHeight="1"/>
    <row r="14" spans="1:62" ht="16.25" customHeight="1">
      <c r="A14" s="257" t="s">
        <v>223</v>
      </c>
      <c r="B14" s="256"/>
      <c r="C14" s="256"/>
      <c r="D14" s="256"/>
      <c r="E14" s="256"/>
      <c r="F14" s="256"/>
      <c r="G14" s="256"/>
    </row>
    <row r="15" spans="1:62" ht="12" customHeight="1">
      <c r="E15" s="66" t="s">
        <v>58</v>
      </c>
      <c r="H15" s="253" t="str">
        <f>Table_4.0_Information!$A$5</f>
        <v>Kentucky</v>
      </c>
      <c r="I15" s="253"/>
      <c r="J15" s="253"/>
      <c r="K15" s="253"/>
      <c r="L15" s="253"/>
      <c r="M15" s="253" t="str">
        <f>Table_4.0_Information!$A$6</f>
        <v>New Mexico</v>
      </c>
      <c r="N15" s="253"/>
      <c r="O15" s="253"/>
      <c r="P15" s="253"/>
      <c r="Q15" s="253"/>
      <c r="R15" s="253" t="str">
        <f>Table_4.0_Information!$A$7</f>
        <v>4 add state in table 0</v>
      </c>
      <c r="S15" s="253"/>
      <c r="T15" s="253"/>
      <c r="U15" s="253"/>
      <c r="V15" s="253"/>
      <c r="W15" s="253" t="str">
        <f>Table_4.0_Information!$A$8</f>
        <v>5 add state in table 0</v>
      </c>
      <c r="X15" s="253"/>
      <c r="Y15" s="253"/>
      <c r="Z15" s="253"/>
      <c r="AA15" s="253"/>
      <c r="AB15" s="253" t="str">
        <f>Table_4.0_Information!$A$9</f>
        <v>6 add state in table 0</v>
      </c>
      <c r="AC15" s="253"/>
      <c r="AD15" s="253"/>
      <c r="AE15" s="253"/>
      <c r="AF15" s="253"/>
      <c r="AG15" s="253" t="str">
        <f>Table_4.0_Information!$A$10</f>
        <v>7 add state in table 0</v>
      </c>
      <c r="AH15" s="253"/>
      <c r="AI15" s="253"/>
      <c r="AJ15" s="253"/>
      <c r="AK15" s="253"/>
      <c r="AL15" s="253" t="str">
        <f>Table_4.0_Information!$A$11</f>
        <v>8 add state in table 0</v>
      </c>
      <c r="AM15" s="253"/>
      <c r="AN15" s="253"/>
      <c r="AO15" s="253"/>
      <c r="AP15" s="253"/>
      <c r="AQ15" s="253" t="str">
        <f>Table_4.0_Information!$A$12</f>
        <v>9 add state in table 0</v>
      </c>
      <c r="AR15" s="253"/>
      <c r="AS15" s="253"/>
      <c r="AT15" s="253"/>
      <c r="AU15" s="253"/>
      <c r="AV15" s="253" t="str">
        <f>Table_4.0_Information!$A$13</f>
        <v>10 add state in table 0</v>
      </c>
      <c r="AW15" s="253"/>
      <c r="AX15" s="253"/>
      <c r="AY15" s="253"/>
      <c r="AZ15" s="253"/>
      <c r="BA15" s="253" t="str">
        <f>Table_4.0_Information!$A$14</f>
        <v>11 add state in table 0</v>
      </c>
      <c r="BB15" s="253"/>
      <c r="BC15" s="253"/>
      <c r="BD15" s="253"/>
      <c r="BE15" s="253"/>
      <c r="BF15" s="253" t="str">
        <f>Table_4.0_Information!$A$15</f>
        <v>12 add state in table 0</v>
      </c>
      <c r="BG15" s="253"/>
      <c r="BH15" s="253"/>
      <c r="BI15" s="253"/>
      <c r="BJ15" s="253"/>
    </row>
    <row r="16" spans="1:62" ht="14" customHeight="1">
      <c r="A16" s="258" t="s">
        <v>162</v>
      </c>
      <c r="B16" s="258"/>
      <c r="C16" s="254" t="s">
        <v>163</v>
      </c>
      <c r="D16" s="254"/>
      <c r="E16" s="254"/>
      <c r="F16" s="254"/>
      <c r="G16" s="254" t="s">
        <v>80</v>
      </c>
      <c r="H16" s="254" t="s">
        <v>163</v>
      </c>
      <c r="I16" s="254"/>
      <c r="J16" s="254"/>
      <c r="K16" s="254"/>
      <c r="L16" s="254" t="s">
        <v>80</v>
      </c>
      <c r="M16" s="254" t="s">
        <v>163</v>
      </c>
      <c r="N16" s="254"/>
      <c r="O16" s="254"/>
      <c r="P16" s="254"/>
      <c r="Q16" s="254" t="s">
        <v>80</v>
      </c>
      <c r="R16" s="254" t="s">
        <v>163</v>
      </c>
      <c r="S16" s="254"/>
      <c r="T16" s="254"/>
      <c r="U16" s="254"/>
      <c r="V16" s="254" t="s">
        <v>80</v>
      </c>
      <c r="W16" s="254" t="s">
        <v>163</v>
      </c>
      <c r="X16" s="254"/>
      <c r="Y16" s="254"/>
      <c r="Z16" s="254"/>
      <c r="AA16" s="254" t="s">
        <v>80</v>
      </c>
      <c r="AB16" s="254" t="s">
        <v>163</v>
      </c>
      <c r="AC16" s="254"/>
      <c r="AD16" s="254"/>
      <c r="AE16" s="254"/>
      <c r="AF16" s="254" t="s">
        <v>80</v>
      </c>
      <c r="AG16" s="254" t="s">
        <v>163</v>
      </c>
      <c r="AH16" s="254"/>
      <c r="AI16" s="254"/>
      <c r="AJ16" s="254"/>
      <c r="AK16" s="254" t="s">
        <v>80</v>
      </c>
      <c r="AL16" s="254" t="s">
        <v>163</v>
      </c>
      <c r="AM16" s="254"/>
      <c r="AN16" s="254"/>
      <c r="AO16" s="254"/>
      <c r="AP16" s="254" t="s">
        <v>80</v>
      </c>
      <c r="AQ16" s="254" t="s">
        <v>163</v>
      </c>
      <c r="AR16" s="254"/>
      <c r="AS16" s="254"/>
      <c r="AT16" s="254"/>
      <c r="AU16" s="254" t="s">
        <v>80</v>
      </c>
      <c r="AV16" s="254" t="s">
        <v>163</v>
      </c>
      <c r="AW16" s="254"/>
      <c r="AX16" s="254"/>
      <c r="AY16" s="254"/>
      <c r="AZ16" s="254" t="s">
        <v>80</v>
      </c>
      <c r="BA16" s="254" t="s">
        <v>163</v>
      </c>
      <c r="BB16" s="254"/>
      <c r="BC16" s="254"/>
      <c r="BD16" s="254"/>
      <c r="BE16" s="254" t="s">
        <v>80</v>
      </c>
      <c r="BF16" s="254" t="s">
        <v>163</v>
      </c>
      <c r="BG16" s="254"/>
      <c r="BH16" s="254"/>
      <c r="BI16" s="254"/>
      <c r="BJ16" s="254" t="s">
        <v>80</v>
      </c>
    </row>
    <row r="17" spans="1:62" ht="14" customHeight="1">
      <c r="A17" s="258"/>
      <c r="B17" s="258"/>
      <c r="C17" s="53" t="s">
        <v>164</v>
      </c>
      <c r="D17" s="53" t="s">
        <v>165</v>
      </c>
      <c r="E17" s="53" t="s">
        <v>166</v>
      </c>
      <c r="F17" s="53" t="s">
        <v>167</v>
      </c>
      <c r="G17" s="254"/>
      <c r="H17" s="53" t="s">
        <v>164</v>
      </c>
      <c r="I17" s="53" t="s">
        <v>165</v>
      </c>
      <c r="J17" s="53" t="s">
        <v>166</v>
      </c>
      <c r="K17" s="53" t="s">
        <v>167</v>
      </c>
      <c r="L17" s="254"/>
      <c r="M17" s="53" t="s">
        <v>164</v>
      </c>
      <c r="N17" s="53" t="s">
        <v>165</v>
      </c>
      <c r="O17" s="53" t="s">
        <v>166</v>
      </c>
      <c r="P17" s="53" t="s">
        <v>167</v>
      </c>
      <c r="Q17" s="254"/>
      <c r="R17" s="53" t="s">
        <v>164</v>
      </c>
      <c r="S17" s="53" t="s">
        <v>165</v>
      </c>
      <c r="T17" s="53" t="s">
        <v>166</v>
      </c>
      <c r="U17" s="53" t="s">
        <v>167</v>
      </c>
      <c r="V17" s="254"/>
      <c r="W17" s="53" t="s">
        <v>164</v>
      </c>
      <c r="X17" s="53" t="s">
        <v>165</v>
      </c>
      <c r="Y17" s="53" t="s">
        <v>166</v>
      </c>
      <c r="Z17" s="53" t="s">
        <v>167</v>
      </c>
      <c r="AA17" s="254"/>
      <c r="AB17" s="53" t="s">
        <v>164</v>
      </c>
      <c r="AC17" s="53" t="s">
        <v>165</v>
      </c>
      <c r="AD17" s="53" t="s">
        <v>166</v>
      </c>
      <c r="AE17" s="53" t="s">
        <v>167</v>
      </c>
      <c r="AF17" s="254"/>
      <c r="AG17" s="53" t="s">
        <v>164</v>
      </c>
      <c r="AH17" s="53" t="s">
        <v>165</v>
      </c>
      <c r="AI17" s="53" t="s">
        <v>166</v>
      </c>
      <c r="AJ17" s="53" t="s">
        <v>167</v>
      </c>
      <c r="AK17" s="254"/>
      <c r="AL17" s="53" t="s">
        <v>164</v>
      </c>
      <c r="AM17" s="53" t="s">
        <v>165</v>
      </c>
      <c r="AN17" s="53" t="s">
        <v>166</v>
      </c>
      <c r="AO17" s="53" t="s">
        <v>167</v>
      </c>
      <c r="AP17" s="254"/>
      <c r="AQ17" s="53" t="s">
        <v>164</v>
      </c>
      <c r="AR17" s="53" t="s">
        <v>165</v>
      </c>
      <c r="AS17" s="53" t="s">
        <v>166</v>
      </c>
      <c r="AT17" s="53" t="s">
        <v>167</v>
      </c>
      <c r="AU17" s="254"/>
      <c r="AV17" s="53" t="s">
        <v>164</v>
      </c>
      <c r="AW17" s="53" t="s">
        <v>165</v>
      </c>
      <c r="AX17" s="53" t="s">
        <v>166</v>
      </c>
      <c r="AY17" s="53" t="s">
        <v>167</v>
      </c>
      <c r="AZ17" s="254"/>
      <c r="BA17" s="53" t="s">
        <v>164</v>
      </c>
      <c r="BB17" s="53" t="s">
        <v>165</v>
      </c>
      <c r="BC17" s="53" t="s">
        <v>166</v>
      </c>
      <c r="BD17" s="53" t="s">
        <v>167</v>
      </c>
      <c r="BE17" s="254"/>
      <c r="BF17" s="53" t="s">
        <v>164</v>
      </c>
      <c r="BG17" s="53" t="s">
        <v>165</v>
      </c>
      <c r="BH17" s="53" t="s">
        <v>166</v>
      </c>
      <c r="BI17" s="53" t="s">
        <v>167</v>
      </c>
      <c r="BJ17" s="254"/>
    </row>
    <row r="18" spans="1:62" ht="14" customHeight="1">
      <c r="A18" s="54" t="s">
        <v>191</v>
      </c>
      <c r="B18" s="55" t="s">
        <v>162</v>
      </c>
      <c r="C18" s="56">
        <v>153</v>
      </c>
      <c r="D18" s="56">
        <v>197</v>
      </c>
      <c r="E18" s="56">
        <v>219</v>
      </c>
      <c r="F18" s="56">
        <v>191</v>
      </c>
      <c r="G18" s="56">
        <v>760</v>
      </c>
      <c r="H18" s="56">
        <v>874</v>
      </c>
      <c r="I18" s="56">
        <v>1111</v>
      </c>
      <c r="J18" s="56">
        <v>1409</v>
      </c>
      <c r="K18" s="56">
        <v>1145</v>
      </c>
      <c r="L18" s="56">
        <f>SUM(H18:K18)</f>
        <v>4539</v>
      </c>
      <c r="M18" s="56">
        <v>145</v>
      </c>
      <c r="N18" s="56">
        <v>183</v>
      </c>
      <c r="O18" s="56">
        <v>145</v>
      </c>
      <c r="P18" s="56">
        <v>178</v>
      </c>
      <c r="Q18" s="56">
        <v>651</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row>
    <row r="19" spans="1:62" ht="14" customHeight="1">
      <c r="A19" s="54" t="s">
        <v>192</v>
      </c>
      <c r="B19" s="55" t="s">
        <v>162</v>
      </c>
      <c r="C19" s="56">
        <v>1</v>
      </c>
      <c r="D19" s="56">
        <v>3</v>
      </c>
      <c r="E19" s="56">
        <v>2</v>
      </c>
      <c r="F19" s="56">
        <v>2</v>
      </c>
      <c r="G19" s="56">
        <v>8</v>
      </c>
      <c r="H19" s="56">
        <v>12</v>
      </c>
      <c r="I19" s="56" t="s">
        <v>255</v>
      </c>
      <c r="J19" s="56">
        <v>7</v>
      </c>
      <c r="K19" s="56">
        <v>8</v>
      </c>
      <c r="L19" s="56">
        <f t="shared" ref="L19:L20" si="1">SUM(H19:K19)</f>
        <v>27</v>
      </c>
      <c r="M19" s="56">
        <v>4</v>
      </c>
      <c r="N19" s="56">
        <v>3</v>
      </c>
      <c r="O19" s="56">
        <v>5</v>
      </c>
      <c r="P19" s="56">
        <v>4</v>
      </c>
      <c r="Q19" s="56">
        <v>16</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row>
    <row r="20" spans="1:62" ht="14" customHeight="1">
      <c r="A20" s="54" t="s">
        <v>193</v>
      </c>
      <c r="B20" s="55" t="s">
        <v>162</v>
      </c>
      <c r="C20" s="56">
        <v>222</v>
      </c>
      <c r="D20" s="56">
        <v>297</v>
      </c>
      <c r="E20" s="56">
        <v>273</v>
      </c>
      <c r="F20" s="56">
        <v>238</v>
      </c>
      <c r="G20" s="56">
        <v>1030</v>
      </c>
      <c r="H20" s="56">
        <v>338</v>
      </c>
      <c r="I20" s="56">
        <v>369</v>
      </c>
      <c r="J20" s="56">
        <v>456</v>
      </c>
      <c r="K20" s="56">
        <v>385</v>
      </c>
      <c r="L20" s="56">
        <f t="shared" si="1"/>
        <v>1548</v>
      </c>
      <c r="M20" s="56">
        <v>207</v>
      </c>
      <c r="N20" s="56">
        <v>200</v>
      </c>
      <c r="O20" s="56">
        <v>174</v>
      </c>
      <c r="P20" s="56">
        <v>204</v>
      </c>
      <c r="Q20" s="56">
        <v>785</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row>
    <row r="21" spans="1:62" ht="12" customHeight="1"/>
    <row r="22" spans="1:62" ht="14" customHeight="1">
      <c r="A22" s="255"/>
      <c r="B22" s="256"/>
      <c r="C22" s="256"/>
      <c r="D22" s="256"/>
      <c r="E22" s="256"/>
      <c r="F22" s="256"/>
      <c r="G22" s="256"/>
    </row>
    <row r="23" spans="1:62" ht="12" customHeight="1"/>
    <row r="24" spans="1:62" ht="16.25" customHeight="1">
      <c r="A24" s="257" t="s">
        <v>224</v>
      </c>
      <c r="B24" s="256"/>
      <c r="C24" s="256"/>
      <c r="D24" s="256"/>
      <c r="E24" s="256"/>
      <c r="F24" s="256"/>
      <c r="G24" s="256"/>
    </row>
    <row r="25" spans="1:62" ht="12" customHeight="1">
      <c r="E25" s="66" t="s">
        <v>58</v>
      </c>
      <c r="H25" s="253" t="str">
        <f>Table_4.0_Information!$A$5</f>
        <v>Kentucky</v>
      </c>
      <c r="I25" s="253"/>
      <c r="J25" s="253"/>
      <c r="K25" s="253"/>
      <c r="L25" s="253"/>
      <c r="M25" s="253" t="str">
        <f>Table_4.0_Information!$A$6</f>
        <v>New Mexico</v>
      </c>
      <c r="N25" s="253"/>
      <c r="O25" s="253"/>
      <c r="P25" s="253"/>
      <c r="Q25" s="253"/>
      <c r="R25" s="253" t="str">
        <f>Table_4.0_Information!$A$7</f>
        <v>4 add state in table 0</v>
      </c>
      <c r="S25" s="253"/>
      <c r="T25" s="253"/>
      <c r="U25" s="253"/>
      <c r="V25" s="253"/>
      <c r="W25" s="253" t="str">
        <f>Table_4.0_Information!$A$8</f>
        <v>5 add state in table 0</v>
      </c>
      <c r="X25" s="253"/>
      <c r="Y25" s="253"/>
      <c r="Z25" s="253"/>
      <c r="AA25" s="253"/>
      <c r="AB25" s="253" t="str">
        <f>Table_4.0_Information!$A$9</f>
        <v>6 add state in table 0</v>
      </c>
      <c r="AC25" s="253"/>
      <c r="AD25" s="253"/>
      <c r="AE25" s="253"/>
      <c r="AF25" s="253"/>
      <c r="AG25" s="253" t="str">
        <f>Table_4.0_Information!$A$10</f>
        <v>7 add state in table 0</v>
      </c>
      <c r="AH25" s="253"/>
      <c r="AI25" s="253"/>
      <c r="AJ25" s="253"/>
      <c r="AK25" s="253"/>
      <c r="AL25" s="253" t="str">
        <f>Table_4.0_Information!$A$11</f>
        <v>8 add state in table 0</v>
      </c>
      <c r="AM25" s="253"/>
      <c r="AN25" s="253"/>
      <c r="AO25" s="253"/>
      <c r="AP25" s="253"/>
      <c r="AQ25" s="253" t="str">
        <f>Table_4.0_Information!$A$12</f>
        <v>9 add state in table 0</v>
      </c>
      <c r="AR25" s="253"/>
      <c r="AS25" s="253"/>
      <c r="AT25" s="253"/>
      <c r="AU25" s="253"/>
      <c r="AV25" s="253" t="str">
        <f>Table_4.0_Information!$A$13</f>
        <v>10 add state in table 0</v>
      </c>
      <c r="AW25" s="253"/>
      <c r="AX25" s="253"/>
      <c r="AY25" s="253"/>
      <c r="AZ25" s="253"/>
      <c r="BA25" s="253" t="str">
        <f>Table_4.0_Information!$A$14</f>
        <v>11 add state in table 0</v>
      </c>
      <c r="BB25" s="253"/>
      <c r="BC25" s="253"/>
      <c r="BD25" s="253"/>
      <c r="BE25" s="253"/>
      <c r="BF25" s="253" t="str">
        <f>Table_4.0_Information!$A$15</f>
        <v>12 add state in table 0</v>
      </c>
      <c r="BG25" s="253"/>
      <c r="BH25" s="253"/>
      <c r="BI25" s="253"/>
      <c r="BJ25" s="253"/>
    </row>
    <row r="26" spans="1:62" ht="14" customHeight="1">
      <c r="A26" s="258" t="s">
        <v>162</v>
      </c>
      <c r="B26" s="258"/>
      <c r="C26" s="254" t="s">
        <v>227</v>
      </c>
      <c r="D26" s="254"/>
      <c r="E26" s="254"/>
      <c r="F26" s="254"/>
      <c r="G26" s="254" t="s">
        <v>80</v>
      </c>
      <c r="H26" s="254" t="s">
        <v>163</v>
      </c>
      <c r="I26" s="254"/>
      <c r="J26" s="254"/>
      <c r="K26" s="254"/>
      <c r="L26" s="254" t="s">
        <v>80</v>
      </c>
      <c r="M26" s="254" t="s">
        <v>163</v>
      </c>
      <c r="N26" s="254"/>
      <c r="O26" s="254"/>
      <c r="P26" s="254"/>
      <c r="Q26" s="254" t="s">
        <v>80</v>
      </c>
      <c r="R26" s="254" t="s">
        <v>163</v>
      </c>
      <c r="S26" s="254"/>
      <c r="T26" s="254"/>
      <c r="U26" s="254"/>
      <c r="V26" s="254" t="s">
        <v>80</v>
      </c>
      <c r="W26" s="254" t="s">
        <v>163</v>
      </c>
      <c r="X26" s="254"/>
      <c r="Y26" s="254"/>
      <c r="Z26" s="254"/>
      <c r="AA26" s="254" t="s">
        <v>80</v>
      </c>
      <c r="AB26" s="254" t="s">
        <v>163</v>
      </c>
      <c r="AC26" s="254"/>
      <c r="AD26" s="254"/>
      <c r="AE26" s="254"/>
      <c r="AF26" s="254" t="s">
        <v>80</v>
      </c>
      <c r="AG26" s="254" t="s">
        <v>163</v>
      </c>
      <c r="AH26" s="254"/>
      <c r="AI26" s="254"/>
      <c r="AJ26" s="254"/>
      <c r="AK26" s="254" t="s">
        <v>80</v>
      </c>
      <c r="AL26" s="254" t="s">
        <v>163</v>
      </c>
      <c r="AM26" s="254"/>
      <c r="AN26" s="254"/>
      <c r="AO26" s="254"/>
      <c r="AP26" s="254" t="s">
        <v>80</v>
      </c>
      <c r="AQ26" s="254" t="s">
        <v>163</v>
      </c>
      <c r="AR26" s="254"/>
      <c r="AS26" s="254"/>
      <c r="AT26" s="254"/>
      <c r="AU26" s="254" t="s">
        <v>80</v>
      </c>
      <c r="AV26" s="254" t="s">
        <v>163</v>
      </c>
      <c r="AW26" s="254"/>
      <c r="AX26" s="254"/>
      <c r="AY26" s="254"/>
      <c r="AZ26" s="254" t="s">
        <v>80</v>
      </c>
      <c r="BA26" s="254" t="s">
        <v>163</v>
      </c>
      <c r="BB26" s="254"/>
      <c r="BC26" s="254"/>
      <c r="BD26" s="254"/>
      <c r="BE26" s="254" t="s">
        <v>80</v>
      </c>
      <c r="BF26" s="254" t="s">
        <v>163</v>
      </c>
      <c r="BG26" s="254"/>
      <c r="BH26" s="254"/>
      <c r="BI26" s="254"/>
      <c r="BJ26" s="254" t="s">
        <v>80</v>
      </c>
    </row>
    <row r="27" spans="1:62" ht="14" customHeight="1">
      <c r="A27" s="258"/>
      <c r="B27" s="258"/>
      <c r="C27" s="64">
        <v>1</v>
      </c>
      <c r="D27" s="64">
        <v>2</v>
      </c>
      <c r="E27" s="64">
        <v>3</v>
      </c>
      <c r="F27" s="64">
        <v>4</v>
      </c>
      <c r="G27" s="254"/>
      <c r="H27" s="53" t="s">
        <v>164</v>
      </c>
      <c r="I27" s="53" t="s">
        <v>165</v>
      </c>
      <c r="J27" s="53" t="s">
        <v>166</v>
      </c>
      <c r="K27" s="53" t="s">
        <v>167</v>
      </c>
      <c r="L27" s="254"/>
      <c r="M27" s="53" t="s">
        <v>164</v>
      </c>
      <c r="N27" s="53" t="s">
        <v>165</v>
      </c>
      <c r="O27" s="53" t="s">
        <v>166</v>
      </c>
      <c r="P27" s="53" t="s">
        <v>167</v>
      </c>
      <c r="Q27" s="254"/>
      <c r="R27" s="53" t="s">
        <v>164</v>
      </c>
      <c r="S27" s="53" t="s">
        <v>165</v>
      </c>
      <c r="T27" s="53" t="s">
        <v>166</v>
      </c>
      <c r="U27" s="53" t="s">
        <v>167</v>
      </c>
      <c r="V27" s="254"/>
      <c r="W27" s="53" t="s">
        <v>164</v>
      </c>
      <c r="X27" s="53" t="s">
        <v>165</v>
      </c>
      <c r="Y27" s="53" t="s">
        <v>166</v>
      </c>
      <c r="Z27" s="53" t="s">
        <v>167</v>
      </c>
      <c r="AA27" s="254"/>
      <c r="AB27" s="53" t="s">
        <v>164</v>
      </c>
      <c r="AC27" s="53" t="s">
        <v>165</v>
      </c>
      <c r="AD27" s="53" t="s">
        <v>166</v>
      </c>
      <c r="AE27" s="53" t="s">
        <v>167</v>
      </c>
      <c r="AF27" s="254"/>
      <c r="AG27" s="53" t="s">
        <v>164</v>
      </c>
      <c r="AH27" s="53" t="s">
        <v>165</v>
      </c>
      <c r="AI27" s="53" t="s">
        <v>166</v>
      </c>
      <c r="AJ27" s="53" t="s">
        <v>167</v>
      </c>
      <c r="AK27" s="254"/>
      <c r="AL27" s="53" t="s">
        <v>164</v>
      </c>
      <c r="AM27" s="53" t="s">
        <v>165</v>
      </c>
      <c r="AN27" s="53" t="s">
        <v>166</v>
      </c>
      <c r="AO27" s="53" t="s">
        <v>167</v>
      </c>
      <c r="AP27" s="254"/>
      <c r="AQ27" s="53" t="s">
        <v>164</v>
      </c>
      <c r="AR27" s="53" t="s">
        <v>165</v>
      </c>
      <c r="AS27" s="53" t="s">
        <v>166</v>
      </c>
      <c r="AT27" s="53" t="s">
        <v>167</v>
      </c>
      <c r="AU27" s="254"/>
      <c r="AV27" s="53" t="s">
        <v>164</v>
      </c>
      <c r="AW27" s="53" t="s">
        <v>165</v>
      </c>
      <c r="AX27" s="53" t="s">
        <v>166</v>
      </c>
      <c r="AY27" s="53" t="s">
        <v>167</v>
      </c>
      <c r="AZ27" s="254"/>
      <c r="BA27" s="53" t="s">
        <v>164</v>
      </c>
      <c r="BB27" s="53" t="s">
        <v>165</v>
      </c>
      <c r="BC27" s="53" t="s">
        <v>166</v>
      </c>
      <c r="BD27" s="53" t="s">
        <v>167</v>
      </c>
      <c r="BE27" s="254"/>
      <c r="BF27" s="53" t="s">
        <v>164</v>
      </c>
      <c r="BG27" s="53" t="s">
        <v>165</v>
      </c>
      <c r="BH27" s="53" t="s">
        <v>166</v>
      </c>
      <c r="BI27" s="53" t="s">
        <v>167</v>
      </c>
      <c r="BJ27" s="254"/>
    </row>
    <row r="28" spans="1:62" ht="14" customHeight="1">
      <c r="A28" s="54" t="s">
        <v>188</v>
      </c>
      <c r="B28" s="55" t="s">
        <v>162</v>
      </c>
      <c r="C28" s="56">
        <v>4961</v>
      </c>
      <c r="D28" s="56">
        <v>3418</v>
      </c>
      <c r="E28" s="56">
        <v>31</v>
      </c>
      <c r="F28" s="56">
        <v>671</v>
      </c>
      <c r="G28" s="56">
        <v>9081</v>
      </c>
      <c r="H28" s="56">
        <v>28344</v>
      </c>
      <c r="I28" s="56">
        <v>6305</v>
      </c>
      <c r="J28" s="56">
        <v>83</v>
      </c>
      <c r="K28" s="56">
        <v>1435</v>
      </c>
      <c r="L28" s="56">
        <f>SUM(H28:K28)</f>
        <v>36167</v>
      </c>
      <c r="M28" s="56">
        <v>2896</v>
      </c>
      <c r="N28" s="56">
        <v>1526</v>
      </c>
      <c r="O28" s="56">
        <v>17</v>
      </c>
      <c r="P28" s="56">
        <v>223</v>
      </c>
      <c r="Q28" s="56">
        <v>4662</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row>
    <row r="29" spans="1:62" ht="14" customHeight="1">
      <c r="A29" s="54" t="s">
        <v>194</v>
      </c>
      <c r="B29" s="55" t="s">
        <v>162</v>
      </c>
      <c r="C29" s="56">
        <v>671</v>
      </c>
      <c r="D29" s="56">
        <v>274</v>
      </c>
      <c r="E29" s="56">
        <v>1</v>
      </c>
      <c r="F29" s="56">
        <v>84</v>
      </c>
      <c r="G29" s="56">
        <v>1030</v>
      </c>
      <c r="H29" s="56">
        <v>3800</v>
      </c>
      <c r="I29" s="56">
        <v>389</v>
      </c>
      <c r="J29" s="56">
        <v>6</v>
      </c>
      <c r="K29" s="56">
        <v>182</v>
      </c>
      <c r="L29" s="56">
        <v>4377</v>
      </c>
      <c r="M29" s="56">
        <v>578</v>
      </c>
      <c r="N29" s="56">
        <v>169</v>
      </c>
      <c r="O29" s="56">
        <v>0</v>
      </c>
      <c r="P29" s="56">
        <v>38</v>
      </c>
      <c r="Q29" s="56">
        <v>785</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row>
    <row r="30" spans="1:62" ht="14" customHeight="1">
      <c r="A30" s="54" t="s">
        <v>190</v>
      </c>
      <c r="B30" s="55" t="s">
        <v>162</v>
      </c>
      <c r="C30" s="56">
        <v>657</v>
      </c>
      <c r="D30" s="56">
        <v>31</v>
      </c>
      <c r="E30" s="56">
        <v>2</v>
      </c>
      <c r="F30" s="56">
        <v>78</v>
      </c>
      <c r="G30" s="56">
        <v>768</v>
      </c>
      <c r="H30" s="56">
        <v>12029</v>
      </c>
      <c r="I30" s="56">
        <v>222</v>
      </c>
      <c r="J30" s="56">
        <v>10</v>
      </c>
      <c r="K30" s="56">
        <v>273</v>
      </c>
      <c r="L30" s="56">
        <v>12534</v>
      </c>
      <c r="M30" s="56">
        <v>594</v>
      </c>
      <c r="N30" s="56">
        <v>40</v>
      </c>
      <c r="O30" s="56">
        <v>0</v>
      </c>
      <c r="P30" s="56">
        <v>33</v>
      </c>
      <c r="Q30" s="56">
        <v>667</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row>
    <row r="31" spans="1:62" ht="12" customHeight="1"/>
    <row r="32" spans="1:62" ht="14" customHeight="1">
      <c r="A32" s="255"/>
      <c r="B32" s="256"/>
      <c r="C32" s="256"/>
      <c r="D32" s="256"/>
      <c r="E32" s="256"/>
      <c r="F32" s="256"/>
      <c r="G32" s="256"/>
    </row>
    <row r="33" spans="1:62" ht="12" customHeight="1"/>
    <row r="34" spans="1:62" ht="16.25" customHeight="1">
      <c r="A34" s="259" t="s">
        <v>225</v>
      </c>
      <c r="B34" s="256"/>
      <c r="C34" s="256"/>
      <c r="D34" s="256"/>
      <c r="E34" s="256"/>
      <c r="F34" s="256"/>
      <c r="G34" s="256"/>
    </row>
    <row r="35" spans="1:62" ht="12" customHeight="1">
      <c r="E35" s="66" t="s">
        <v>58</v>
      </c>
      <c r="H35" s="253" t="str">
        <f>Table_4.0_Information!$A$5</f>
        <v>Kentucky</v>
      </c>
      <c r="I35" s="253"/>
      <c r="J35" s="253"/>
      <c r="K35" s="253"/>
      <c r="L35" s="253"/>
      <c r="M35" s="253" t="str">
        <f>Table_4.0_Information!$A$6</f>
        <v>New Mexico</v>
      </c>
      <c r="N35" s="253"/>
      <c r="O35" s="253"/>
      <c r="P35" s="253"/>
      <c r="Q35" s="253"/>
      <c r="R35" s="253" t="str">
        <f>Table_4.0_Information!$A$7</f>
        <v>4 add state in table 0</v>
      </c>
      <c r="S35" s="253"/>
      <c r="T35" s="253"/>
      <c r="U35" s="253"/>
      <c r="V35" s="253"/>
      <c r="W35" s="253" t="str">
        <f>Table_4.0_Information!$A$8</f>
        <v>5 add state in table 0</v>
      </c>
      <c r="X35" s="253"/>
      <c r="Y35" s="253"/>
      <c r="Z35" s="253"/>
      <c r="AA35" s="253"/>
      <c r="AB35" s="253" t="str">
        <f>Table_4.0_Information!$A$9</f>
        <v>6 add state in table 0</v>
      </c>
      <c r="AC35" s="253"/>
      <c r="AD35" s="253"/>
      <c r="AE35" s="253"/>
      <c r="AF35" s="253"/>
      <c r="AG35" s="253" t="str">
        <f>Table_4.0_Information!$A$10</f>
        <v>7 add state in table 0</v>
      </c>
      <c r="AH35" s="253"/>
      <c r="AI35" s="253"/>
      <c r="AJ35" s="253"/>
      <c r="AK35" s="253"/>
      <c r="AL35" s="253" t="str">
        <f>Table_4.0_Information!$A$11</f>
        <v>8 add state in table 0</v>
      </c>
      <c r="AM35" s="253"/>
      <c r="AN35" s="253"/>
      <c r="AO35" s="253"/>
      <c r="AP35" s="253"/>
      <c r="AQ35" s="253" t="str">
        <f>Table_4.0_Information!$A$12</f>
        <v>9 add state in table 0</v>
      </c>
      <c r="AR35" s="253"/>
      <c r="AS35" s="253"/>
      <c r="AT35" s="253"/>
      <c r="AU35" s="253"/>
      <c r="AV35" s="253" t="str">
        <f>Table_4.0_Information!$A$13</f>
        <v>10 add state in table 0</v>
      </c>
      <c r="AW35" s="253"/>
      <c r="AX35" s="253"/>
      <c r="AY35" s="253"/>
      <c r="AZ35" s="253"/>
      <c r="BA35" s="253" t="str">
        <f>Table_4.0_Information!$A$14</f>
        <v>11 add state in table 0</v>
      </c>
      <c r="BB35" s="253"/>
      <c r="BC35" s="253"/>
      <c r="BD35" s="253"/>
      <c r="BE35" s="253"/>
      <c r="BF35" s="253" t="str">
        <f>Table_4.0_Information!$A$15</f>
        <v>12 add state in table 0</v>
      </c>
      <c r="BG35" s="253"/>
      <c r="BH35" s="253"/>
      <c r="BI35" s="253"/>
      <c r="BJ35" s="253"/>
    </row>
    <row r="36" spans="1:62" ht="14" customHeight="1">
      <c r="A36" s="258" t="s">
        <v>162</v>
      </c>
      <c r="B36" s="258"/>
      <c r="C36" s="254" t="s">
        <v>163</v>
      </c>
      <c r="D36" s="254"/>
      <c r="E36" s="254"/>
      <c r="F36" s="254"/>
      <c r="G36" s="254" t="s">
        <v>80</v>
      </c>
      <c r="H36" s="254" t="s">
        <v>163</v>
      </c>
      <c r="I36" s="254"/>
      <c r="J36" s="254"/>
      <c r="K36" s="254"/>
      <c r="L36" s="254" t="s">
        <v>80</v>
      </c>
      <c r="M36" s="254" t="s">
        <v>163</v>
      </c>
      <c r="N36" s="254"/>
      <c r="O36" s="254"/>
      <c r="P36" s="254"/>
      <c r="Q36" s="254" t="s">
        <v>80</v>
      </c>
      <c r="R36" s="254" t="s">
        <v>163</v>
      </c>
      <c r="S36" s="254"/>
      <c r="T36" s="254"/>
      <c r="U36" s="254"/>
      <c r="V36" s="254" t="s">
        <v>80</v>
      </c>
      <c r="W36" s="254" t="s">
        <v>163</v>
      </c>
      <c r="X36" s="254"/>
      <c r="Y36" s="254"/>
      <c r="Z36" s="254"/>
      <c r="AA36" s="254" t="s">
        <v>80</v>
      </c>
      <c r="AB36" s="254" t="s">
        <v>163</v>
      </c>
      <c r="AC36" s="254"/>
      <c r="AD36" s="254"/>
      <c r="AE36" s="254"/>
      <c r="AF36" s="254" t="s">
        <v>80</v>
      </c>
      <c r="AG36" s="254" t="s">
        <v>163</v>
      </c>
      <c r="AH36" s="254"/>
      <c r="AI36" s="254"/>
      <c r="AJ36" s="254"/>
      <c r="AK36" s="254" t="s">
        <v>80</v>
      </c>
      <c r="AL36" s="254" t="s">
        <v>163</v>
      </c>
      <c r="AM36" s="254"/>
      <c r="AN36" s="254"/>
      <c r="AO36" s="254"/>
      <c r="AP36" s="254" t="s">
        <v>80</v>
      </c>
      <c r="AQ36" s="254" t="s">
        <v>163</v>
      </c>
      <c r="AR36" s="254"/>
      <c r="AS36" s="254"/>
      <c r="AT36" s="254"/>
      <c r="AU36" s="254" t="s">
        <v>80</v>
      </c>
      <c r="AV36" s="254" t="s">
        <v>163</v>
      </c>
      <c r="AW36" s="254"/>
      <c r="AX36" s="254"/>
      <c r="AY36" s="254"/>
      <c r="AZ36" s="254" t="s">
        <v>80</v>
      </c>
      <c r="BA36" s="254" t="s">
        <v>163</v>
      </c>
      <c r="BB36" s="254"/>
      <c r="BC36" s="254"/>
      <c r="BD36" s="254"/>
      <c r="BE36" s="254" t="s">
        <v>80</v>
      </c>
      <c r="BF36" s="254" t="s">
        <v>163</v>
      </c>
      <c r="BG36" s="254"/>
      <c r="BH36" s="254"/>
      <c r="BI36" s="254"/>
      <c r="BJ36" s="254" t="s">
        <v>80</v>
      </c>
    </row>
    <row r="37" spans="1:62" ht="14" customHeight="1">
      <c r="A37" s="258"/>
      <c r="B37" s="258"/>
      <c r="C37" s="53" t="s">
        <v>164</v>
      </c>
      <c r="D37" s="53" t="s">
        <v>165</v>
      </c>
      <c r="E37" s="53" t="s">
        <v>166</v>
      </c>
      <c r="F37" s="53" t="s">
        <v>167</v>
      </c>
      <c r="G37" s="254"/>
      <c r="H37" s="53" t="s">
        <v>164</v>
      </c>
      <c r="I37" s="53" t="s">
        <v>165</v>
      </c>
      <c r="J37" s="53" t="s">
        <v>166</v>
      </c>
      <c r="K37" s="53" t="s">
        <v>167</v>
      </c>
      <c r="L37" s="254"/>
      <c r="M37" s="53" t="s">
        <v>164</v>
      </c>
      <c r="N37" s="53" t="s">
        <v>165</v>
      </c>
      <c r="O37" s="53" t="s">
        <v>166</v>
      </c>
      <c r="P37" s="53" t="s">
        <v>167</v>
      </c>
      <c r="Q37" s="254"/>
      <c r="R37" s="53" t="s">
        <v>164</v>
      </c>
      <c r="S37" s="53" t="s">
        <v>165</v>
      </c>
      <c r="T37" s="53" t="s">
        <v>166</v>
      </c>
      <c r="U37" s="53" t="s">
        <v>167</v>
      </c>
      <c r="V37" s="254"/>
      <c r="W37" s="53" t="s">
        <v>164</v>
      </c>
      <c r="X37" s="53" t="s">
        <v>165</v>
      </c>
      <c r="Y37" s="53" t="s">
        <v>166</v>
      </c>
      <c r="Z37" s="53" t="s">
        <v>167</v>
      </c>
      <c r="AA37" s="254"/>
      <c r="AB37" s="53" t="s">
        <v>164</v>
      </c>
      <c r="AC37" s="53" t="s">
        <v>165</v>
      </c>
      <c r="AD37" s="53" t="s">
        <v>166</v>
      </c>
      <c r="AE37" s="53" t="s">
        <v>167</v>
      </c>
      <c r="AF37" s="254"/>
      <c r="AG37" s="53" t="s">
        <v>164</v>
      </c>
      <c r="AH37" s="53" t="s">
        <v>165</v>
      </c>
      <c r="AI37" s="53" t="s">
        <v>166</v>
      </c>
      <c r="AJ37" s="53" t="s">
        <v>167</v>
      </c>
      <c r="AK37" s="254"/>
      <c r="AL37" s="53" t="s">
        <v>164</v>
      </c>
      <c r="AM37" s="53" t="s">
        <v>165</v>
      </c>
      <c r="AN37" s="53" t="s">
        <v>166</v>
      </c>
      <c r="AO37" s="53" t="s">
        <v>167</v>
      </c>
      <c r="AP37" s="254"/>
      <c r="AQ37" s="53" t="s">
        <v>164</v>
      </c>
      <c r="AR37" s="53" t="s">
        <v>165</v>
      </c>
      <c r="AS37" s="53" t="s">
        <v>166</v>
      </c>
      <c r="AT37" s="53" t="s">
        <v>167</v>
      </c>
      <c r="AU37" s="254"/>
      <c r="AV37" s="53" t="s">
        <v>164</v>
      </c>
      <c r="AW37" s="53" t="s">
        <v>165</v>
      </c>
      <c r="AX37" s="53" t="s">
        <v>166</v>
      </c>
      <c r="AY37" s="53" t="s">
        <v>167</v>
      </c>
      <c r="AZ37" s="254"/>
      <c r="BA37" s="53" t="s">
        <v>164</v>
      </c>
      <c r="BB37" s="53" t="s">
        <v>165</v>
      </c>
      <c r="BC37" s="53" t="s">
        <v>166</v>
      </c>
      <c r="BD37" s="53" t="s">
        <v>167</v>
      </c>
      <c r="BE37" s="254"/>
      <c r="BF37" s="53" t="s">
        <v>164</v>
      </c>
      <c r="BG37" s="53" t="s">
        <v>165</v>
      </c>
      <c r="BH37" s="53" t="s">
        <v>166</v>
      </c>
      <c r="BI37" s="53" t="s">
        <v>167</v>
      </c>
      <c r="BJ37" s="254"/>
    </row>
    <row r="38" spans="1:62" ht="14" customHeight="1">
      <c r="A38" s="54" t="s">
        <v>195</v>
      </c>
      <c r="B38" s="55" t="s">
        <v>162</v>
      </c>
      <c r="C38" s="56">
        <v>1659</v>
      </c>
      <c r="D38" s="56">
        <v>1906</v>
      </c>
      <c r="E38" s="56">
        <v>1912</v>
      </c>
      <c r="F38" s="56">
        <v>1857</v>
      </c>
      <c r="G38" s="56">
        <v>7334</v>
      </c>
      <c r="H38" s="56">
        <v>2540</v>
      </c>
      <c r="I38" s="56">
        <v>2910</v>
      </c>
      <c r="J38" s="56">
        <v>3313</v>
      </c>
      <c r="K38" s="56">
        <v>2875</v>
      </c>
      <c r="L38" s="56">
        <f>SUM(H38:K38)</f>
        <v>11638</v>
      </c>
      <c r="M38" s="56">
        <v>887</v>
      </c>
      <c r="N38" s="56">
        <v>987</v>
      </c>
      <c r="O38" s="56">
        <v>907</v>
      </c>
      <c r="P38" s="56">
        <v>950</v>
      </c>
      <c r="Q38" s="56">
        <v>3731</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row>
    <row r="39" spans="1:62" ht="14" customHeight="1">
      <c r="A39" s="54" t="s">
        <v>196</v>
      </c>
      <c r="B39" s="55" t="s">
        <v>162</v>
      </c>
      <c r="C39" s="56">
        <v>449</v>
      </c>
      <c r="D39" s="56">
        <v>438</v>
      </c>
      <c r="E39" s="56">
        <v>426</v>
      </c>
      <c r="F39" s="56">
        <v>439</v>
      </c>
      <c r="G39" s="56">
        <v>1752</v>
      </c>
      <c r="H39" s="56">
        <v>353</v>
      </c>
      <c r="I39" s="56">
        <v>420</v>
      </c>
      <c r="J39" s="56">
        <v>420</v>
      </c>
      <c r="K39" s="56">
        <v>367</v>
      </c>
      <c r="L39" s="56">
        <f t="shared" ref="L39:L41" si="2">SUM(H39:K39)</f>
        <v>1560</v>
      </c>
      <c r="M39" s="56">
        <v>255</v>
      </c>
      <c r="N39" s="56">
        <v>285</v>
      </c>
      <c r="O39" s="56">
        <v>236</v>
      </c>
      <c r="P39" s="56">
        <v>182</v>
      </c>
      <c r="Q39" s="56">
        <v>958</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row>
    <row r="40" spans="1:62" ht="29" customHeight="1">
      <c r="A40" s="57" t="s">
        <v>197</v>
      </c>
      <c r="B40" s="55" t="s">
        <v>162</v>
      </c>
      <c r="C40" s="56">
        <v>416</v>
      </c>
      <c r="D40" s="56">
        <v>395</v>
      </c>
      <c r="E40" s="56">
        <v>361</v>
      </c>
      <c r="F40" s="56">
        <v>386</v>
      </c>
      <c r="G40" s="56">
        <v>1558</v>
      </c>
      <c r="H40" s="56">
        <v>326</v>
      </c>
      <c r="I40" s="56">
        <v>392</v>
      </c>
      <c r="J40" s="56">
        <v>382</v>
      </c>
      <c r="K40" s="56">
        <v>340</v>
      </c>
      <c r="L40" s="56">
        <f t="shared" si="2"/>
        <v>1440</v>
      </c>
      <c r="M40" s="56">
        <v>238</v>
      </c>
      <c r="N40" s="56">
        <v>254</v>
      </c>
      <c r="O40" s="56">
        <v>222</v>
      </c>
      <c r="P40" s="56">
        <v>160</v>
      </c>
      <c r="Q40" s="56">
        <v>874</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row>
    <row r="41" spans="1:62" ht="29" customHeight="1">
      <c r="A41" s="57" t="s">
        <v>198</v>
      </c>
      <c r="B41" s="55" t="s">
        <v>162</v>
      </c>
      <c r="C41" s="56">
        <v>416</v>
      </c>
      <c r="D41" s="56">
        <v>395</v>
      </c>
      <c r="E41" s="56">
        <v>361</v>
      </c>
      <c r="F41" s="56">
        <v>386</v>
      </c>
      <c r="G41" s="56">
        <v>1558</v>
      </c>
      <c r="H41" s="56">
        <v>326</v>
      </c>
      <c r="I41" s="56">
        <v>392</v>
      </c>
      <c r="J41" s="56">
        <v>382</v>
      </c>
      <c r="K41" s="56">
        <v>340</v>
      </c>
      <c r="L41" s="56">
        <f t="shared" si="2"/>
        <v>1440</v>
      </c>
      <c r="M41" s="56">
        <v>238</v>
      </c>
      <c r="N41" s="56">
        <v>254</v>
      </c>
      <c r="O41" s="56">
        <v>222</v>
      </c>
      <c r="P41" s="56">
        <v>160</v>
      </c>
      <c r="Q41" s="56">
        <v>874</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row>
    <row r="42" spans="1:62" ht="12" customHeight="1"/>
  </sheetData>
  <mergeCells count="152">
    <mergeCell ref="A4:G4"/>
    <mergeCell ref="A6:B7"/>
    <mergeCell ref="C6:F6"/>
    <mergeCell ref="G6:G7"/>
    <mergeCell ref="A12:G12"/>
    <mergeCell ref="A14:G14"/>
    <mergeCell ref="A2:G2"/>
    <mergeCell ref="A36:B37"/>
    <mergeCell ref="C36:F36"/>
    <mergeCell ref="G36:G37"/>
    <mergeCell ref="A16:B17"/>
    <mergeCell ref="C16:F16"/>
    <mergeCell ref="G16:G17"/>
    <mergeCell ref="A22:G22"/>
    <mergeCell ref="A24:G24"/>
    <mergeCell ref="A26:B27"/>
    <mergeCell ref="C26:F26"/>
    <mergeCell ref="G26:G27"/>
    <mergeCell ref="AV6:AY6"/>
    <mergeCell ref="AZ6:AZ7"/>
    <mergeCell ref="BA6:BD6"/>
    <mergeCell ref="BE6:BE7"/>
    <mergeCell ref="BF6:BI6"/>
    <mergeCell ref="AF6:AF7"/>
    <mergeCell ref="H5:L5"/>
    <mergeCell ref="M5:Q5"/>
    <mergeCell ref="R5:V5"/>
    <mergeCell ref="W5:AA5"/>
    <mergeCell ref="AG6:AJ6"/>
    <mergeCell ref="AK6:AK7"/>
    <mergeCell ref="AL6:AO6"/>
    <mergeCell ref="AP6:AP7"/>
    <mergeCell ref="AQ6:AT6"/>
    <mergeCell ref="R15:V15"/>
    <mergeCell ref="W15:AA15"/>
    <mergeCell ref="AB15:AF15"/>
    <mergeCell ref="AG15:AK15"/>
    <mergeCell ref="AL15:AP15"/>
    <mergeCell ref="AQ15:AU15"/>
    <mergeCell ref="BF5:BJ5"/>
    <mergeCell ref="H6:K6"/>
    <mergeCell ref="L6:L7"/>
    <mergeCell ref="M6:P6"/>
    <mergeCell ref="Q6:Q7"/>
    <mergeCell ref="R6:U6"/>
    <mergeCell ref="V6:V7"/>
    <mergeCell ref="W6:Z6"/>
    <mergeCell ref="AA6:AA7"/>
    <mergeCell ref="AB6:AE6"/>
    <mergeCell ref="AB5:AF5"/>
    <mergeCell ref="AG5:AK5"/>
    <mergeCell ref="AL5:AP5"/>
    <mergeCell ref="AQ5:AU5"/>
    <mergeCell ref="AV5:AZ5"/>
    <mergeCell ref="BA5:BE5"/>
    <mergeCell ref="BJ6:BJ7"/>
    <mergeCell ref="AU6:AU7"/>
    <mergeCell ref="AV15:AZ15"/>
    <mergeCell ref="BA15:BE15"/>
    <mergeCell ref="BF15:BJ15"/>
    <mergeCell ref="H16:K16"/>
    <mergeCell ref="L16:L17"/>
    <mergeCell ref="M16:P16"/>
    <mergeCell ref="Q16:Q17"/>
    <mergeCell ref="R16:U16"/>
    <mergeCell ref="V16:V17"/>
    <mergeCell ref="W16:Z16"/>
    <mergeCell ref="BE16:BE17"/>
    <mergeCell ref="BF16:BI16"/>
    <mergeCell ref="BJ16:BJ17"/>
    <mergeCell ref="AU16:AU17"/>
    <mergeCell ref="AV16:AY16"/>
    <mergeCell ref="AZ16:AZ17"/>
    <mergeCell ref="BA16:BD16"/>
    <mergeCell ref="H15:L15"/>
    <mergeCell ref="M15:Q15"/>
    <mergeCell ref="AP16:AP17"/>
    <mergeCell ref="AQ16:AT16"/>
    <mergeCell ref="AA16:AA17"/>
    <mergeCell ref="AB16:AE16"/>
    <mergeCell ref="AF16:AF17"/>
    <mergeCell ref="AG16:AJ16"/>
    <mergeCell ref="AK16:AK17"/>
    <mergeCell ref="AL16:AO16"/>
    <mergeCell ref="AL25:AP25"/>
    <mergeCell ref="AQ25:AU25"/>
    <mergeCell ref="A32:G32"/>
    <mergeCell ref="A34:G34"/>
    <mergeCell ref="AV25:AZ25"/>
    <mergeCell ref="BA25:BE25"/>
    <mergeCell ref="W26:Z26"/>
    <mergeCell ref="AA26:AA27"/>
    <mergeCell ref="AB26:AE26"/>
    <mergeCell ref="AF26:AF27"/>
    <mergeCell ref="AG26:AJ26"/>
    <mergeCell ref="BF25:BJ25"/>
    <mergeCell ref="H26:K26"/>
    <mergeCell ref="L26:L27"/>
    <mergeCell ref="M26:P26"/>
    <mergeCell ref="Q26:Q27"/>
    <mergeCell ref="R26:U26"/>
    <mergeCell ref="AZ26:AZ27"/>
    <mergeCell ref="BA26:BD26"/>
    <mergeCell ref="BE26:BE27"/>
    <mergeCell ref="BF26:BI26"/>
    <mergeCell ref="BJ26:BJ27"/>
    <mergeCell ref="AU26:AU27"/>
    <mergeCell ref="AV26:AY26"/>
    <mergeCell ref="H25:L25"/>
    <mergeCell ref="M25:Q25"/>
    <mergeCell ref="R25:V25"/>
    <mergeCell ref="W25:AA25"/>
    <mergeCell ref="AB25:AF25"/>
    <mergeCell ref="AG25:AK25"/>
    <mergeCell ref="AK26:AK27"/>
    <mergeCell ref="AL26:AO26"/>
    <mergeCell ref="AP26:AP27"/>
    <mergeCell ref="AQ26:AT26"/>
    <mergeCell ref="V26:V27"/>
    <mergeCell ref="H35:L35"/>
    <mergeCell ref="M35:Q35"/>
    <mergeCell ref="R35:V35"/>
    <mergeCell ref="W35:AA35"/>
    <mergeCell ref="AG36:AJ36"/>
    <mergeCell ref="AK36:AK37"/>
    <mergeCell ref="AL36:AO36"/>
    <mergeCell ref="AP36:AP37"/>
    <mergeCell ref="AQ36:AT36"/>
    <mergeCell ref="H36:K36"/>
    <mergeCell ref="L36:L37"/>
    <mergeCell ref="M36:P36"/>
    <mergeCell ref="Q36:Q37"/>
    <mergeCell ref="R36:U36"/>
    <mergeCell ref="V36:V37"/>
    <mergeCell ref="W36:Z36"/>
    <mergeCell ref="AA36:AA37"/>
    <mergeCell ref="AB36:AE36"/>
    <mergeCell ref="AB35:AF35"/>
    <mergeCell ref="AG35:AK35"/>
    <mergeCell ref="AL35:AP35"/>
    <mergeCell ref="AQ35:AU35"/>
    <mergeCell ref="AF36:AF37"/>
    <mergeCell ref="AV35:AZ35"/>
    <mergeCell ref="BA35:BE35"/>
    <mergeCell ref="BJ36:BJ37"/>
    <mergeCell ref="AU36:AU37"/>
    <mergeCell ref="AV36:AY36"/>
    <mergeCell ref="AZ36:AZ37"/>
    <mergeCell ref="BA36:BD36"/>
    <mergeCell ref="BE36:BE37"/>
    <mergeCell ref="BF36:BI36"/>
    <mergeCell ref="BF35:BJ35"/>
  </mergeCells>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CBBEC-D61D-E64C-95A4-BA66D61A3AC1}">
  <dimension ref="B3:W58"/>
  <sheetViews>
    <sheetView topLeftCell="A24" zoomScale="70" zoomScaleNormal="70" workbookViewId="0">
      <selection activeCell="B7" sqref="B7"/>
    </sheetView>
  </sheetViews>
  <sheetFormatPr baseColWidth="10" defaultColWidth="11.5" defaultRowHeight="12" customHeight="1"/>
  <cols>
    <col min="1" max="1" width="1.6640625" style="116" customWidth="1"/>
    <col min="2" max="2" width="36.5" style="116" customWidth="1"/>
    <col min="3" max="7" width="8" style="116" bestFit="1" customWidth="1"/>
    <col min="8" max="14" width="8" style="116" customWidth="1"/>
    <col min="15" max="15" width="1.6640625" style="116" customWidth="1"/>
    <col min="16" max="16" width="16.1640625" style="116" customWidth="1"/>
    <col min="17" max="17" width="48.5" style="116" customWidth="1"/>
    <col min="18" max="16384" width="11.5" style="116"/>
  </cols>
  <sheetData>
    <row r="3" spans="2:23" ht="15">
      <c r="B3" s="263" t="s">
        <v>339</v>
      </c>
      <c r="C3" s="263"/>
      <c r="D3" s="263"/>
      <c r="E3" s="263"/>
      <c r="F3" s="263"/>
      <c r="G3" s="263"/>
      <c r="H3" s="263"/>
      <c r="I3" s="263"/>
      <c r="J3" s="263"/>
      <c r="K3" s="263"/>
      <c r="L3" s="263"/>
      <c r="M3" s="263"/>
      <c r="N3" s="263"/>
    </row>
    <row r="4" spans="2:23" ht="15">
      <c r="C4" s="264" t="s">
        <v>340</v>
      </c>
      <c r="D4" s="264"/>
      <c r="E4" s="264"/>
      <c r="F4" s="264"/>
      <c r="G4" s="264"/>
      <c r="H4" s="265"/>
      <c r="I4" s="266" t="s">
        <v>341</v>
      </c>
      <c r="J4" s="264"/>
      <c r="K4" s="264"/>
      <c r="L4" s="264"/>
      <c r="M4" s="264"/>
      <c r="N4" s="264"/>
    </row>
    <row r="5" spans="2:23" ht="15">
      <c r="C5" s="117" t="s">
        <v>342</v>
      </c>
      <c r="D5" s="117" t="s">
        <v>365</v>
      </c>
      <c r="E5" s="117" t="s">
        <v>343</v>
      </c>
      <c r="F5" s="117" t="s">
        <v>344</v>
      </c>
      <c r="G5" s="117" t="s">
        <v>366</v>
      </c>
      <c r="H5" s="117"/>
      <c r="I5" s="117" t="s">
        <v>342</v>
      </c>
      <c r="J5" s="117" t="s">
        <v>365</v>
      </c>
      <c r="K5" s="117" t="s">
        <v>343</v>
      </c>
      <c r="L5" s="117" t="s">
        <v>344</v>
      </c>
      <c r="M5" s="117" t="s">
        <v>366</v>
      </c>
      <c r="N5" s="117"/>
    </row>
    <row r="6" spans="2:23" ht="16">
      <c r="B6" s="118" t="s">
        <v>201</v>
      </c>
      <c r="C6" s="119"/>
      <c r="D6" s="120"/>
      <c r="E6" s="120"/>
      <c r="F6" s="120"/>
      <c r="G6" s="120"/>
      <c r="H6" s="120"/>
      <c r="I6" s="121"/>
      <c r="J6" s="120"/>
      <c r="K6" s="120"/>
      <c r="L6" s="120"/>
      <c r="M6" s="120"/>
      <c r="N6" s="122"/>
    </row>
    <row r="7" spans="2:23" ht="15">
      <c r="B7" s="123" t="s">
        <v>361</v>
      </c>
      <c r="C7" s="56">
        <v>1801</v>
      </c>
      <c r="D7" s="56">
        <v>6155</v>
      </c>
      <c r="E7" s="213">
        <v>3150</v>
      </c>
      <c r="F7" s="56">
        <v>1466</v>
      </c>
      <c r="G7" s="56">
        <v>4498</v>
      </c>
      <c r="H7" s="126"/>
      <c r="I7" s="127">
        <v>1</v>
      </c>
      <c r="J7" s="128">
        <v>1</v>
      </c>
      <c r="K7" s="128">
        <v>1</v>
      </c>
      <c r="L7" s="128">
        <v>1</v>
      </c>
      <c r="M7" s="128">
        <v>1</v>
      </c>
      <c r="N7" s="128">
        <v>1</v>
      </c>
    </row>
    <row r="8" spans="2:23" ht="15">
      <c r="B8" s="116" t="s">
        <v>362</v>
      </c>
      <c r="C8" s="56">
        <v>3022</v>
      </c>
      <c r="D8" s="56">
        <v>7064</v>
      </c>
      <c r="E8" s="213">
        <v>5696</v>
      </c>
      <c r="F8" s="56">
        <v>2005</v>
      </c>
      <c r="G8" s="56">
        <v>6243</v>
      </c>
      <c r="H8" s="126"/>
      <c r="I8" s="129">
        <f>C8/C7</f>
        <v>1.6779566907273737</v>
      </c>
      <c r="J8" s="130">
        <f t="shared" ref="J8:N8" si="0">D8/D7</f>
        <v>1.1476848090982941</v>
      </c>
      <c r="K8" s="130">
        <f t="shared" si="0"/>
        <v>1.8082539682539682</v>
      </c>
      <c r="L8" s="130">
        <f t="shared" si="0"/>
        <v>1.3676671214188267</v>
      </c>
      <c r="M8" s="130">
        <f t="shared" si="0"/>
        <v>1.3879502000889283</v>
      </c>
      <c r="N8" s="130" t="e">
        <f t="shared" si="0"/>
        <v>#DIV/0!</v>
      </c>
      <c r="Q8" s="267" t="s">
        <v>349</v>
      </c>
      <c r="R8" s="267"/>
      <c r="S8" s="267"/>
    </row>
    <row r="9" spans="2:23" ht="15">
      <c r="B9" s="132" t="s">
        <v>350</v>
      </c>
      <c r="C9" s="56">
        <v>12367</v>
      </c>
      <c r="D9" s="56">
        <v>16794</v>
      </c>
      <c r="E9" s="213">
        <v>16276</v>
      </c>
      <c r="F9" s="56">
        <v>9003</v>
      </c>
      <c r="G9" s="56">
        <v>20647</v>
      </c>
      <c r="H9" s="126"/>
      <c r="I9" s="129">
        <f>C9/C7</f>
        <v>6.8667406996113272</v>
      </c>
      <c r="J9" s="129">
        <f t="shared" ref="J9:N9" si="1">D9/D7</f>
        <v>2.7285134037367995</v>
      </c>
      <c r="K9" s="129">
        <f t="shared" si="1"/>
        <v>5.1669841269841266</v>
      </c>
      <c r="L9" s="129">
        <f t="shared" si="1"/>
        <v>6.141200545702592</v>
      </c>
      <c r="M9" s="129">
        <f t="shared" si="1"/>
        <v>4.5902623388172525</v>
      </c>
      <c r="N9" s="129" t="e">
        <f t="shared" si="1"/>
        <v>#DIV/0!</v>
      </c>
    </row>
    <row r="10" spans="2:23" ht="16">
      <c r="B10" s="133" t="s">
        <v>200</v>
      </c>
      <c r="C10" s="134"/>
      <c r="D10" s="135"/>
      <c r="E10" s="135"/>
      <c r="F10" s="135"/>
      <c r="G10" s="135"/>
      <c r="H10" s="135"/>
      <c r="I10" s="117" t="s">
        <v>342</v>
      </c>
      <c r="J10" s="117" t="s">
        <v>365</v>
      </c>
      <c r="K10" s="117" t="s">
        <v>343</v>
      </c>
      <c r="L10" s="117" t="s">
        <v>344</v>
      </c>
      <c r="M10" s="117" t="s">
        <v>366</v>
      </c>
      <c r="N10" s="117"/>
      <c r="P10" s="263" t="s">
        <v>351</v>
      </c>
      <c r="Q10" s="263"/>
      <c r="R10" s="263"/>
    </row>
    <row r="11" spans="2:23" ht="15">
      <c r="B11" s="123" t="s">
        <v>361</v>
      </c>
      <c r="C11" s="56">
        <v>293</v>
      </c>
      <c r="D11" s="56">
        <v>234</v>
      </c>
      <c r="E11" s="208">
        <v>324</v>
      </c>
      <c r="F11" s="56">
        <v>68</v>
      </c>
      <c r="G11" s="56">
        <v>214</v>
      </c>
      <c r="H11" s="126"/>
      <c r="I11" s="127">
        <v>1</v>
      </c>
      <c r="J11" s="128">
        <v>1</v>
      </c>
      <c r="K11" s="128">
        <v>1</v>
      </c>
      <c r="L11" s="128">
        <v>1</v>
      </c>
      <c r="M11" s="128">
        <v>1</v>
      </c>
      <c r="N11" s="128">
        <v>1</v>
      </c>
      <c r="P11" s="136"/>
      <c r="Q11" s="137"/>
      <c r="R11" s="117" t="s">
        <v>342</v>
      </c>
      <c r="S11" s="117" t="s">
        <v>365</v>
      </c>
      <c r="T11" s="117" t="s">
        <v>343</v>
      </c>
      <c r="U11" s="117" t="s">
        <v>344</v>
      </c>
      <c r="V11" s="117" t="s">
        <v>366</v>
      </c>
      <c r="W11" s="117"/>
    </row>
    <row r="12" spans="2:23" ht="15">
      <c r="B12" s="116" t="s">
        <v>362</v>
      </c>
      <c r="C12" s="56">
        <v>476</v>
      </c>
      <c r="D12" s="56">
        <v>277</v>
      </c>
      <c r="E12" s="208">
        <v>427</v>
      </c>
      <c r="F12" s="56">
        <v>108</v>
      </c>
      <c r="G12" s="56">
        <v>315</v>
      </c>
      <c r="H12" s="126"/>
      <c r="I12" s="129">
        <f t="shared" ref="I12:N12" si="2">C12/C11</f>
        <v>1.6245733788395904</v>
      </c>
      <c r="J12" s="130">
        <f t="shared" si="2"/>
        <v>1.1837606837606838</v>
      </c>
      <c r="K12" s="130">
        <f t="shared" si="2"/>
        <v>1.3179012345679013</v>
      </c>
      <c r="L12" s="130">
        <f t="shared" si="2"/>
        <v>1.588235294117647</v>
      </c>
      <c r="M12" s="130">
        <f t="shared" si="2"/>
        <v>1.47196261682243</v>
      </c>
      <c r="N12" s="130" t="e">
        <f t="shared" si="2"/>
        <v>#DIV/0!</v>
      </c>
      <c r="P12" s="268" t="s">
        <v>352</v>
      </c>
      <c r="Q12" s="123" t="s">
        <v>353</v>
      </c>
      <c r="R12" s="56">
        <v>1032</v>
      </c>
      <c r="S12" s="56">
        <v>1554</v>
      </c>
      <c r="T12" s="213">
        <v>1876</v>
      </c>
      <c r="U12" s="56">
        <v>792</v>
      </c>
      <c r="V12" s="56">
        <v>2770</v>
      </c>
    </row>
    <row r="13" spans="2:23" ht="15">
      <c r="B13" s="132" t="s">
        <v>350</v>
      </c>
      <c r="C13" s="56">
        <v>18478</v>
      </c>
      <c r="D13" s="56">
        <v>10607</v>
      </c>
      <c r="E13" s="213">
        <v>19696</v>
      </c>
      <c r="F13" s="56">
        <v>5431</v>
      </c>
      <c r="G13" s="56">
        <v>17542</v>
      </c>
      <c r="H13" s="126"/>
      <c r="I13" s="129">
        <f>C13/C11</f>
        <v>63.064846416382252</v>
      </c>
      <c r="J13" s="129">
        <f t="shared" ref="J13:N13" si="3">D13/D11</f>
        <v>45.32905982905983</v>
      </c>
      <c r="K13" s="129">
        <f t="shared" si="3"/>
        <v>60.790123456790127</v>
      </c>
      <c r="L13" s="129">
        <f t="shared" si="3"/>
        <v>79.867647058823536</v>
      </c>
      <c r="M13" s="129">
        <f t="shared" si="3"/>
        <v>81.971962616822424</v>
      </c>
      <c r="N13" s="129" t="e">
        <f t="shared" si="3"/>
        <v>#DIV/0!</v>
      </c>
      <c r="P13" s="269"/>
      <c r="Q13" s="123" t="s">
        <v>354</v>
      </c>
      <c r="R13" s="56">
        <v>2107</v>
      </c>
      <c r="S13" s="56">
        <v>2295</v>
      </c>
      <c r="T13" s="213">
        <v>3549</v>
      </c>
      <c r="U13" s="56">
        <v>1204</v>
      </c>
      <c r="V13" s="56">
        <v>4148</v>
      </c>
    </row>
    <row r="14" spans="2:23" ht="16">
      <c r="B14" s="133" t="s">
        <v>306</v>
      </c>
      <c r="C14" s="134"/>
      <c r="D14" s="135"/>
      <c r="E14" s="135"/>
      <c r="F14" s="135"/>
      <c r="G14" s="135"/>
      <c r="H14" s="135"/>
      <c r="I14" s="117" t="s">
        <v>342</v>
      </c>
      <c r="J14" s="117" t="s">
        <v>365</v>
      </c>
      <c r="K14" s="117" t="s">
        <v>343</v>
      </c>
      <c r="L14" s="117" t="s">
        <v>344</v>
      </c>
      <c r="M14" s="117" t="s">
        <v>366</v>
      </c>
      <c r="N14" s="117"/>
      <c r="P14" s="268" t="s">
        <v>355</v>
      </c>
      <c r="Q14" s="123" t="s">
        <v>353</v>
      </c>
      <c r="R14" s="56">
        <v>8</v>
      </c>
      <c r="S14" s="56">
        <v>27</v>
      </c>
      <c r="T14" s="208">
        <v>48</v>
      </c>
      <c r="U14" s="56">
        <v>16</v>
      </c>
      <c r="V14" s="56">
        <v>42</v>
      </c>
    </row>
    <row r="15" spans="2:23" ht="15">
      <c r="B15" s="123" t="s">
        <v>361</v>
      </c>
      <c r="C15" s="56">
        <v>244</v>
      </c>
      <c r="D15" s="56">
        <v>446</v>
      </c>
      <c r="E15" s="208">
        <v>541</v>
      </c>
      <c r="F15" s="56">
        <v>225</v>
      </c>
      <c r="G15" s="56">
        <v>664</v>
      </c>
      <c r="H15" s="126"/>
      <c r="I15" s="127">
        <v>1</v>
      </c>
      <c r="J15" s="128">
        <v>1</v>
      </c>
      <c r="K15" s="128">
        <v>1</v>
      </c>
      <c r="L15" s="128">
        <v>1</v>
      </c>
      <c r="M15" s="128">
        <v>1</v>
      </c>
      <c r="N15" s="128">
        <v>1</v>
      </c>
      <c r="P15" s="269"/>
      <c r="Q15" s="123" t="s">
        <v>354</v>
      </c>
      <c r="R15" s="56">
        <v>8</v>
      </c>
      <c r="S15" s="56">
        <v>33</v>
      </c>
      <c r="T15" s="208">
        <v>49</v>
      </c>
      <c r="U15" s="56">
        <v>16</v>
      </c>
      <c r="V15" s="56">
        <v>42</v>
      </c>
    </row>
    <row r="16" spans="2:23" ht="15">
      <c r="B16" s="116" t="s">
        <v>362</v>
      </c>
      <c r="C16" s="56">
        <v>302</v>
      </c>
      <c r="D16" s="56">
        <v>557</v>
      </c>
      <c r="E16" s="208">
        <v>702</v>
      </c>
      <c r="F16" s="56">
        <v>264</v>
      </c>
      <c r="G16" s="56">
        <v>871</v>
      </c>
      <c r="H16" s="126"/>
      <c r="I16" s="129">
        <f t="shared" ref="I16:N16" si="4">C16/C15</f>
        <v>1.2377049180327868</v>
      </c>
      <c r="J16" s="130">
        <f t="shared" si="4"/>
        <v>1.2488789237668161</v>
      </c>
      <c r="K16" s="130">
        <f t="shared" si="4"/>
        <v>1.2975970425138632</v>
      </c>
      <c r="L16" s="130">
        <f t="shared" si="4"/>
        <v>1.1733333333333333</v>
      </c>
      <c r="M16" s="130">
        <f t="shared" si="4"/>
        <v>1.3117469879518073</v>
      </c>
      <c r="N16" s="130" t="e">
        <f t="shared" si="4"/>
        <v>#DIV/0!</v>
      </c>
      <c r="P16" s="268" t="s">
        <v>356</v>
      </c>
      <c r="Q16" s="123" t="s">
        <v>353</v>
      </c>
      <c r="R16" s="56">
        <v>761</v>
      </c>
      <c r="S16" s="56">
        <v>4570</v>
      </c>
      <c r="T16" s="213">
        <v>1226</v>
      </c>
      <c r="U16" s="56">
        <v>658</v>
      </c>
      <c r="V16" s="56">
        <v>1686</v>
      </c>
    </row>
    <row r="17" spans="2:22" ht="16">
      <c r="B17" s="133" t="s">
        <v>207</v>
      </c>
      <c r="C17" s="134"/>
      <c r="D17" s="135"/>
      <c r="E17" s="208"/>
      <c r="F17" s="135"/>
      <c r="G17" s="56"/>
      <c r="H17" s="135"/>
      <c r="I17" s="117" t="s">
        <v>342</v>
      </c>
      <c r="J17" s="117" t="s">
        <v>365</v>
      </c>
      <c r="K17" s="117" t="s">
        <v>343</v>
      </c>
      <c r="L17" s="117" t="s">
        <v>344</v>
      </c>
      <c r="M17" s="117" t="s">
        <v>366</v>
      </c>
      <c r="N17" s="117"/>
      <c r="P17" s="269"/>
      <c r="Q17" s="123" t="s">
        <v>354</v>
      </c>
      <c r="R17" s="56">
        <v>761</v>
      </c>
      <c r="S17" s="56">
        <v>4568</v>
      </c>
      <c r="T17" s="213">
        <v>1225</v>
      </c>
      <c r="U17" s="56">
        <v>658</v>
      </c>
      <c r="V17" s="56">
        <v>1686</v>
      </c>
    </row>
    <row r="18" spans="2:22" ht="15">
      <c r="B18" s="123" t="s">
        <v>361</v>
      </c>
      <c r="C18" s="56">
        <v>88</v>
      </c>
      <c r="D18" s="56">
        <v>114</v>
      </c>
      <c r="E18" s="208">
        <v>377</v>
      </c>
      <c r="F18" s="56">
        <v>60</v>
      </c>
      <c r="G18" s="56">
        <v>228</v>
      </c>
      <c r="H18" s="126"/>
      <c r="I18" s="127">
        <v>1</v>
      </c>
      <c r="J18" s="128">
        <v>1</v>
      </c>
      <c r="K18" s="128">
        <v>1</v>
      </c>
      <c r="L18" s="128">
        <v>1</v>
      </c>
      <c r="M18" s="128">
        <v>1</v>
      </c>
      <c r="N18" s="128">
        <v>1</v>
      </c>
    </row>
    <row r="19" spans="2:22" ht="15">
      <c r="B19" s="116" t="s">
        <v>362</v>
      </c>
      <c r="C19" s="56">
        <v>105</v>
      </c>
      <c r="D19" s="56">
        <v>130</v>
      </c>
      <c r="E19" s="208">
        <v>432</v>
      </c>
      <c r="F19" s="56">
        <v>66</v>
      </c>
      <c r="G19" s="56">
        <v>257</v>
      </c>
      <c r="H19" s="126"/>
      <c r="I19" s="130">
        <f t="shared" ref="I19:L19" si="5">C19/C18</f>
        <v>1.1931818181818181</v>
      </c>
      <c r="J19" s="130">
        <f t="shared" si="5"/>
        <v>1.1403508771929824</v>
      </c>
      <c r="K19" s="130">
        <f t="shared" si="5"/>
        <v>1.1458885941644563</v>
      </c>
      <c r="L19" s="130">
        <f t="shared" si="5"/>
        <v>1.1000000000000001</v>
      </c>
      <c r="M19" s="138">
        <f>G19/G18</f>
        <v>1.1271929824561404</v>
      </c>
      <c r="N19" s="130" t="e">
        <f t="shared" ref="N19" si="6">H19/H18</f>
        <v>#DIV/0!</v>
      </c>
    </row>
    <row r="20" spans="2:22" ht="15">
      <c r="B20" s="132" t="s">
        <v>350</v>
      </c>
      <c r="C20" s="56">
        <v>3425</v>
      </c>
      <c r="D20" s="56">
        <v>3774</v>
      </c>
      <c r="E20" s="213">
        <v>12084</v>
      </c>
      <c r="F20" s="56">
        <v>1859</v>
      </c>
      <c r="G20" s="56">
        <v>9098</v>
      </c>
      <c r="H20" s="126"/>
      <c r="I20" s="130">
        <f>C20/C18</f>
        <v>38.920454545454547</v>
      </c>
      <c r="J20" s="130">
        <f t="shared" ref="J20:N20" si="7">D20/D18</f>
        <v>33.10526315789474</v>
      </c>
      <c r="K20" s="130">
        <f t="shared" si="7"/>
        <v>32.053050397877982</v>
      </c>
      <c r="L20" s="130">
        <f t="shared" si="7"/>
        <v>30.983333333333334</v>
      </c>
      <c r="M20" s="130">
        <f t="shared" si="7"/>
        <v>39.903508771929822</v>
      </c>
      <c r="N20" s="130" t="e">
        <f t="shared" si="7"/>
        <v>#DIV/0!</v>
      </c>
    </row>
    <row r="21" spans="2:22" ht="16">
      <c r="B21" s="133" t="s">
        <v>208</v>
      </c>
      <c r="C21" s="135"/>
      <c r="D21" s="135"/>
      <c r="E21" s="135"/>
      <c r="F21" s="135"/>
      <c r="G21" s="135"/>
      <c r="H21" s="135"/>
      <c r="I21" s="117" t="s">
        <v>342</v>
      </c>
      <c r="J21" s="117" t="s">
        <v>365</v>
      </c>
      <c r="K21" s="117" t="s">
        <v>343</v>
      </c>
      <c r="L21" s="117" t="s">
        <v>344</v>
      </c>
      <c r="M21" s="117" t="s">
        <v>366</v>
      </c>
      <c r="N21" s="117"/>
    </row>
    <row r="22" spans="2:22" ht="15">
      <c r="B22" s="123" t="s">
        <v>361</v>
      </c>
      <c r="C22" s="56">
        <v>915</v>
      </c>
      <c r="D22" s="56">
        <v>987</v>
      </c>
      <c r="E22" s="213">
        <v>1535</v>
      </c>
      <c r="F22" s="56">
        <v>531</v>
      </c>
      <c r="G22" s="56">
        <v>2233</v>
      </c>
      <c r="H22" s="126"/>
      <c r="I22" s="127">
        <v>1</v>
      </c>
      <c r="J22" s="128">
        <v>1</v>
      </c>
      <c r="K22" s="128">
        <v>1</v>
      </c>
      <c r="L22" s="128">
        <v>1</v>
      </c>
      <c r="M22" s="128">
        <v>1</v>
      </c>
      <c r="N22" s="128">
        <v>1</v>
      </c>
      <c r="Q22" s="123" t="s">
        <v>348</v>
      </c>
      <c r="R22" s="125"/>
      <c r="S22" s="125"/>
    </row>
    <row r="23" spans="2:22" ht="15">
      <c r="B23" s="116" t="s">
        <v>362</v>
      </c>
      <c r="C23" s="56">
        <v>1135</v>
      </c>
      <c r="D23" s="56">
        <v>1157</v>
      </c>
      <c r="E23" s="213">
        <v>2040</v>
      </c>
      <c r="F23" s="56">
        <v>670</v>
      </c>
      <c r="G23" s="56">
        <v>2627</v>
      </c>
      <c r="H23" s="126"/>
      <c r="I23" s="130">
        <f t="shared" ref="I23:N23" si="8">C23/C22</f>
        <v>1.2404371584699454</v>
      </c>
      <c r="J23" s="130">
        <f t="shared" si="8"/>
        <v>1.1722391084093211</v>
      </c>
      <c r="K23" s="130">
        <f t="shared" si="8"/>
        <v>1.3289902280130292</v>
      </c>
      <c r="L23" s="130">
        <f t="shared" si="8"/>
        <v>1.2617702448210923</v>
      </c>
      <c r="M23" s="138">
        <f>G23/G22</f>
        <v>1.1764442454097626</v>
      </c>
      <c r="N23" s="130" t="e">
        <f t="shared" si="8"/>
        <v>#DIV/0!</v>
      </c>
      <c r="Q23" s="139" t="s">
        <v>357</v>
      </c>
      <c r="R23" s="140"/>
      <c r="S23" s="140"/>
    </row>
    <row r="24" spans="2:22" ht="15">
      <c r="Q24" s="139" t="s">
        <v>358</v>
      </c>
      <c r="R24" s="140"/>
      <c r="S24" s="140"/>
    </row>
    <row r="25" spans="2:22" ht="15">
      <c r="Q25" s="139" t="s">
        <v>359</v>
      </c>
      <c r="R25" s="140"/>
      <c r="S25" s="140"/>
    </row>
    <row r="26" spans="2:22" ht="15">
      <c r="Q26" s="123" t="s">
        <v>360</v>
      </c>
      <c r="R26" s="125"/>
      <c r="S26" s="125"/>
    </row>
    <row r="27" spans="2:22" ht="15">
      <c r="Q27" s="139" t="s">
        <v>357</v>
      </c>
      <c r="R27" s="140"/>
      <c r="S27" s="140"/>
    </row>
    <row r="28" spans="2:22" ht="15">
      <c r="Q28" s="139" t="s">
        <v>358</v>
      </c>
      <c r="R28" s="140"/>
      <c r="S28" s="140"/>
    </row>
    <row r="29" spans="2:22" ht="15">
      <c r="Q29" s="139" t="s">
        <v>359</v>
      </c>
      <c r="R29" s="140"/>
      <c r="S29" s="140"/>
    </row>
    <row r="34" spans="2:23" ht="15">
      <c r="Q34" s="116" t="s">
        <v>339</v>
      </c>
    </row>
    <row r="35" spans="2:23" ht="15"/>
    <row r="36" spans="2:23" ht="15"/>
    <row r="37" spans="2:23" ht="15">
      <c r="Q37" s="116" t="s">
        <v>201</v>
      </c>
      <c r="R37" s="117" t="s">
        <v>342</v>
      </c>
      <c r="S37" s="117" t="s">
        <v>365</v>
      </c>
      <c r="T37" s="117" t="s">
        <v>343</v>
      </c>
      <c r="U37" s="117" t="s">
        <v>344</v>
      </c>
      <c r="V37" s="117" t="s">
        <v>366</v>
      </c>
      <c r="W37" s="117"/>
    </row>
    <row r="38" spans="2:23" ht="15">
      <c r="B38" s="262"/>
      <c r="C38" s="262"/>
      <c r="D38" s="262"/>
      <c r="E38" s="262"/>
      <c r="F38" s="262"/>
      <c r="G38" s="262"/>
      <c r="Q38" s="116" t="s">
        <v>361</v>
      </c>
    </row>
    <row r="39" spans="2:23" ht="15">
      <c r="Q39" s="116" t="s">
        <v>362</v>
      </c>
    </row>
    <row r="40" spans="2:23" ht="15">
      <c r="Q40" s="116" t="s">
        <v>363</v>
      </c>
    </row>
    <row r="41" spans="2:23" ht="15"/>
    <row r="42" spans="2:23" ht="15">
      <c r="Q42" s="116" t="s">
        <v>200</v>
      </c>
      <c r="R42" s="117" t="s">
        <v>342</v>
      </c>
      <c r="S42" s="117" t="s">
        <v>365</v>
      </c>
      <c r="T42" s="117" t="s">
        <v>343</v>
      </c>
      <c r="U42" s="117" t="s">
        <v>344</v>
      </c>
      <c r="V42" s="117" t="s">
        <v>366</v>
      </c>
      <c r="W42" s="117"/>
    </row>
    <row r="43" spans="2:23" ht="15">
      <c r="Q43" s="116" t="s">
        <v>361</v>
      </c>
    </row>
    <row r="44" spans="2:23" ht="15">
      <c r="Q44" s="116" t="s">
        <v>362</v>
      </c>
    </row>
    <row r="45" spans="2:23" ht="15">
      <c r="Q45" s="116" t="s">
        <v>363</v>
      </c>
    </row>
    <row r="46" spans="2:23" ht="15"/>
    <row r="47" spans="2:23" ht="15">
      <c r="Q47" s="116" t="s">
        <v>364</v>
      </c>
      <c r="R47" s="117" t="s">
        <v>342</v>
      </c>
      <c r="S47" s="117" t="s">
        <v>365</v>
      </c>
      <c r="T47" s="117" t="s">
        <v>343</v>
      </c>
      <c r="U47" s="117" t="s">
        <v>344</v>
      </c>
      <c r="V47" s="117" t="s">
        <v>366</v>
      </c>
      <c r="W47" s="117"/>
    </row>
    <row r="48" spans="2:23" ht="15">
      <c r="Q48" s="116" t="s">
        <v>361</v>
      </c>
    </row>
    <row r="49" spans="17:23" ht="15">
      <c r="Q49" s="116" t="s">
        <v>362</v>
      </c>
    </row>
    <row r="50" spans="17:23" ht="15"/>
    <row r="51" spans="17:23" ht="15">
      <c r="Q51" s="116" t="s">
        <v>207</v>
      </c>
      <c r="R51" s="117" t="s">
        <v>342</v>
      </c>
      <c r="S51" s="117" t="s">
        <v>365</v>
      </c>
      <c r="T51" s="117" t="s">
        <v>343</v>
      </c>
      <c r="U51" s="117" t="s">
        <v>344</v>
      </c>
      <c r="V51" s="117" t="s">
        <v>366</v>
      </c>
      <c r="W51" s="117"/>
    </row>
    <row r="52" spans="17:23" ht="15">
      <c r="Q52" s="116" t="s">
        <v>361</v>
      </c>
    </row>
    <row r="53" spans="17:23" ht="15">
      <c r="Q53" s="116" t="s">
        <v>362</v>
      </c>
    </row>
    <row r="54" spans="17:23" ht="15">
      <c r="Q54" s="116" t="s">
        <v>363</v>
      </c>
    </row>
    <row r="55" spans="17:23" ht="15"/>
    <row r="56" spans="17:23" ht="15">
      <c r="Q56" s="116" t="s">
        <v>208</v>
      </c>
      <c r="R56" s="117" t="s">
        <v>342</v>
      </c>
      <c r="S56" s="117" t="s">
        <v>365</v>
      </c>
      <c r="T56" s="117" t="s">
        <v>343</v>
      </c>
      <c r="U56" s="117" t="s">
        <v>344</v>
      </c>
      <c r="V56" s="117" t="s">
        <v>366</v>
      </c>
      <c r="W56" s="117"/>
    </row>
    <row r="57" spans="17:23" ht="15">
      <c r="Q57" s="116" t="s">
        <v>361</v>
      </c>
    </row>
    <row r="58" spans="17:23" ht="15">
      <c r="Q58" s="116" t="s">
        <v>362</v>
      </c>
    </row>
  </sheetData>
  <mergeCells count="9">
    <mergeCell ref="B38:G38"/>
    <mergeCell ref="B3:N3"/>
    <mergeCell ref="C4:H4"/>
    <mergeCell ref="I4:N4"/>
    <mergeCell ref="Q8:S8"/>
    <mergeCell ref="P10:R10"/>
    <mergeCell ref="P12:P13"/>
    <mergeCell ref="P14:P15"/>
    <mergeCell ref="P16:P1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7042-411C-2B4B-B22D-7AF0B2CAFCB9}">
  <dimension ref="A1:AA78"/>
  <sheetViews>
    <sheetView topLeftCell="A57" workbookViewId="0">
      <selection activeCell="A56" sqref="A56"/>
    </sheetView>
  </sheetViews>
  <sheetFormatPr baseColWidth="10" defaultColWidth="10.83203125" defaultRowHeight="15"/>
  <cols>
    <col min="1" max="1" width="112" style="115" bestFit="1" customWidth="1"/>
    <col min="2" max="2" width="3" style="115" bestFit="1" customWidth="1"/>
    <col min="3" max="3" width="6" style="115" bestFit="1" customWidth="1"/>
    <col min="4" max="4" width="7" style="115" bestFit="1" customWidth="1"/>
    <col min="5" max="5" width="10.83203125" style="115"/>
    <col min="6" max="6" width="6" style="115" bestFit="1" customWidth="1"/>
    <col min="7" max="7" width="10.83203125" style="200"/>
    <col min="8" max="16384" width="10.83203125" style="115"/>
  </cols>
  <sheetData>
    <row r="1" spans="1:7" ht="16" customHeight="1">
      <c r="A1" s="257" t="s">
        <v>389</v>
      </c>
      <c r="B1" s="256"/>
      <c r="C1" s="256"/>
    </row>
    <row r="2" spans="1:7">
      <c r="A2" s="115" t="s">
        <v>387</v>
      </c>
    </row>
    <row r="3" spans="1:7" ht="14" customHeight="1">
      <c r="A3" s="258" t="s">
        <v>162</v>
      </c>
      <c r="B3" s="258"/>
      <c r="C3" s="254" t="s">
        <v>342</v>
      </c>
      <c r="D3" s="254" t="s">
        <v>365</v>
      </c>
      <c r="E3" s="254" t="s">
        <v>343</v>
      </c>
      <c r="F3" s="254" t="s">
        <v>344</v>
      </c>
      <c r="G3" s="270" t="s">
        <v>366</v>
      </c>
    </row>
    <row r="4" spans="1:7" ht="14" customHeight="1">
      <c r="A4" s="258"/>
      <c r="B4" s="258"/>
      <c r="C4" s="254"/>
      <c r="D4" s="254"/>
      <c r="E4" s="254"/>
      <c r="F4" s="254"/>
      <c r="G4" s="271"/>
    </row>
    <row r="5" spans="1:7" ht="14" customHeight="1">
      <c r="A5" s="54" t="s">
        <v>188</v>
      </c>
      <c r="B5" s="114" t="s">
        <v>162</v>
      </c>
      <c r="C5" s="56">
        <v>9081</v>
      </c>
      <c r="D5" s="56">
        <v>36167</v>
      </c>
      <c r="E5" s="213">
        <v>11611</v>
      </c>
      <c r="F5" s="56">
        <v>4662</v>
      </c>
      <c r="G5" s="56">
        <v>18124</v>
      </c>
    </row>
    <row r="6" spans="1:7" ht="29" customHeight="1">
      <c r="A6" s="57" t="s">
        <v>189</v>
      </c>
      <c r="B6" s="114" t="s">
        <v>162</v>
      </c>
      <c r="C6" s="56">
        <v>1030</v>
      </c>
      <c r="D6" s="56">
        <v>4377</v>
      </c>
      <c r="E6" s="213">
        <v>1841</v>
      </c>
      <c r="F6" s="56">
        <v>785</v>
      </c>
      <c r="G6" s="56">
        <v>2762</v>
      </c>
    </row>
    <row r="7" spans="1:7" ht="14" customHeight="1">
      <c r="A7" s="54" t="s">
        <v>190</v>
      </c>
      <c r="B7" s="114" t="s">
        <v>162</v>
      </c>
      <c r="C7" s="56">
        <v>768</v>
      </c>
      <c r="D7" s="56">
        <v>12534</v>
      </c>
      <c r="E7" s="213">
        <v>1248</v>
      </c>
      <c r="F7" s="56">
        <v>667</v>
      </c>
      <c r="G7" s="56">
        <v>1720</v>
      </c>
    </row>
    <row r="8" spans="1:7">
      <c r="E8" s="56"/>
      <c r="G8" s="56"/>
    </row>
    <row r="9" spans="1:7" ht="14" customHeight="1">
      <c r="A9" s="255"/>
      <c r="B9" s="256"/>
      <c r="C9" s="256"/>
    </row>
    <row r="11" spans="1:7" ht="16" customHeight="1">
      <c r="A11" s="257" t="s">
        <v>388</v>
      </c>
      <c r="B11" s="256"/>
      <c r="C11" s="256"/>
    </row>
    <row r="13" spans="1:7" ht="14" customHeight="1">
      <c r="A13" s="258" t="s">
        <v>162</v>
      </c>
      <c r="B13" s="258"/>
      <c r="C13" s="254" t="s">
        <v>342</v>
      </c>
      <c r="D13" s="254" t="s">
        <v>365</v>
      </c>
      <c r="E13" s="254" t="s">
        <v>343</v>
      </c>
      <c r="F13" s="254" t="s">
        <v>344</v>
      </c>
      <c r="G13" s="270" t="s">
        <v>366</v>
      </c>
    </row>
    <row r="14" spans="1:7" ht="14" customHeight="1">
      <c r="A14" s="258"/>
      <c r="B14" s="258"/>
      <c r="C14" s="254"/>
      <c r="D14" s="254"/>
      <c r="E14" s="254"/>
      <c r="F14" s="254"/>
      <c r="G14" s="271"/>
    </row>
    <row r="15" spans="1:7" ht="14" customHeight="1">
      <c r="A15" s="54" t="s">
        <v>378</v>
      </c>
      <c r="B15" s="114" t="s">
        <v>162</v>
      </c>
      <c r="C15" s="56">
        <v>8949</v>
      </c>
      <c r="D15" s="56">
        <v>35993</v>
      </c>
      <c r="E15" s="213">
        <v>10667</v>
      </c>
      <c r="F15" s="56">
        <v>4559</v>
      </c>
      <c r="G15" s="56">
        <v>17960</v>
      </c>
    </row>
    <row r="16" spans="1:7" ht="29" customHeight="1">
      <c r="A16" s="57" t="s">
        <v>379</v>
      </c>
      <c r="B16" s="114" t="s">
        <v>162</v>
      </c>
      <c r="C16" s="56">
        <v>1008</v>
      </c>
      <c r="D16" s="56">
        <v>4340</v>
      </c>
      <c r="E16" s="213">
        <v>1576</v>
      </c>
      <c r="F16" s="56">
        <v>738</v>
      </c>
      <c r="G16" s="56">
        <v>2727</v>
      </c>
    </row>
    <row r="17" spans="1:7" ht="14" customHeight="1">
      <c r="A17" s="54" t="s">
        <v>380</v>
      </c>
      <c r="B17" s="114" t="s">
        <v>162</v>
      </c>
      <c r="C17" s="56">
        <v>764</v>
      </c>
      <c r="D17" s="56">
        <v>12522</v>
      </c>
      <c r="E17" s="213">
        <v>1179</v>
      </c>
      <c r="F17" s="56">
        <v>661</v>
      </c>
      <c r="G17" s="56">
        <v>1715</v>
      </c>
    </row>
    <row r="18" spans="1:7">
      <c r="E18" s="56"/>
      <c r="G18" s="56"/>
    </row>
    <row r="19" spans="1:7" ht="14" customHeight="1">
      <c r="A19" s="255"/>
      <c r="B19" s="256"/>
      <c r="C19" s="256"/>
    </row>
    <row r="21" spans="1:7" ht="16" customHeight="1">
      <c r="A21" s="257" t="s">
        <v>390</v>
      </c>
      <c r="B21" s="256"/>
      <c r="C21" s="256"/>
    </row>
    <row r="23" spans="1:7" ht="14" customHeight="1">
      <c r="A23" s="258" t="s">
        <v>162</v>
      </c>
      <c r="B23" s="258"/>
      <c r="C23" s="254" t="s">
        <v>342</v>
      </c>
      <c r="D23" s="254" t="s">
        <v>365</v>
      </c>
      <c r="E23" s="254" t="s">
        <v>343</v>
      </c>
      <c r="F23" s="254" t="s">
        <v>344</v>
      </c>
      <c r="G23" s="270" t="s">
        <v>366</v>
      </c>
    </row>
    <row r="24" spans="1:7" ht="14" customHeight="1">
      <c r="A24" s="258"/>
      <c r="B24" s="258"/>
      <c r="C24" s="254"/>
      <c r="D24" s="254"/>
      <c r="E24" s="254"/>
      <c r="F24" s="254"/>
      <c r="G24" s="271"/>
    </row>
    <row r="25" spans="1:7" ht="14" customHeight="1">
      <c r="A25" s="54" t="s">
        <v>381</v>
      </c>
      <c r="B25" s="114" t="s">
        <v>162</v>
      </c>
      <c r="C25" s="56">
        <v>9057</v>
      </c>
      <c r="D25" s="56">
        <v>36127</v>
      </c>
      <c r="E25" s="213">
        <v>11303</v>
      </c>
      <c r="F25" s="56">
        <v>4630</v>
      </c>
      <c r="G25" s="56">
        <v>18105</v>
      </c>
    </row>
    <row r="26" spans="1:7" ht="29" customHeight="1">
      <c r="A26" s="57" t="s">
        <v>382</v>
      </c>
      <c r="B26" s="114" t="s">
        <v>162</v>
      </c>
      <c r="C26" s="56">
        <v>1024</v>
      </c>
      <c r="D26" s="56">
        <v>4368</v>
      </c>
      <c r="E26" s="213">
        <v>1748</v>
      </c>
      <c r="F26" s="56">
        <v>772</v>
      </c>
      <c r="G26" s="56">
        <v>2761</v>
      </c>
    </row>
    <row r="27" spans="1:7" ht="14" customHeight="1">
      <c r="A27" s="54" t="s">
        <v>383</v>
      </c>
      <c r="B27" s="114" t="s">
        <v>162</v>
      </c>
      <c r="C27" s="56">
        <v>768</v>
      </c>
      <c r="D27" s="56">
        <v>12532</v>
      </c>
      <c r="E27" s="213">
        <v>1238</v>
      </c>
      <c r="F27" s="56">
        <v>667</v>
      </c>
      <c r="G27" s="56">
        <v>1720</v>
      </c>
    </row>
    <row r="28" spans="1:7">
      <c r="E28" s="56"/>
      <c r="G28" s="56"/>
    </row>
    <row r="29" spans="1:7" ht="14" customHeight="1">
      <c r="A29" s="255"/>
      <c r="B29" s="256"/>
      <c r="C29" s="256"/>
    </row>
    <row r="31" spans="1:7" ht="16" customHeight="1">
      <c r="A31" s="257" t="s">
        <v>391</v>
      </c>
      <c r="B31" s="256"/>
      <c r="C31" s="256"/>
    </row>
    <row r="33" spans="1:7" ht="14" customHeight="1">
      <c r="A33" s="258" t="s">
        <v>162</v>
      </c>
      <c r="B33" s="258"/>
      <c r="C33" s="254" t="s">
        <v>342</v>
      </c>
      <c r="D33" s="254" t="s">
        <v>365</v>
      </c>
      <c r="E33" s="254" t="s">
        <v>343</v>
      </c>
      <c r="F33" s="254" t="s">
        <v>344</v>
      </c>
      <c r="G33" s="270" t="s">
        <v>366</v>
      </c>
    </row>
    <row r="34" spans="1:7" ht="14" customHeight="1">
      <c r="A34" s="258"/>
      <c r="B34" s="258"/>
      <c r="C34" s="254"/>
      <c r="D34" s="254"/>
      <c r="E34" s="254"/>
      <c r="F34" s="254"/>
      <c r="G34" s="271"/>
    </row>
    <row r="35" spans="1:7" ht="14" customHeight="1">
      <c r="A35" s="54" t="s">
        <v>384</v>
      </c>
      <c r="B35" s="114" t="s">
        <v>162</v>
      </c>
      <c r="C35" s="56">
        <v>7331</v>
      </c>
      <c r="D35" s="56">
        <v>31889</v>
      </c>
      <c r="E35" s="213">
        <v>8112</v>
      </c>
      <c r="F35" s="56">
        <v>3715</v>
      </c>
      <c r="G35" s="56">
        <v>14704</v>
      </c>
    </row>
    <row r="36" spans="1:7" ht="29" customHeight="1">
      <c r="A36" s="57" t="s">
        <v>385</v>
      </c>
      <c r="B36" s="114" t="s">
        <v>162</v>
      </c>
      <c r="C36" s="56">
        <v>728</v>
      </c>
      <c r="D36" s="56">
        <v>3468</v>
      </c>
      <c r="E36" s="213">
        <v>1115</v>
      </c>
      <c r="F36" s="56">
        <v>556</v>
      </c>
      <c r="G36" s="56">
        <v>1880</v>
      </c>
    </row>
    <row r="37" spans="1:7" ht="14" customHeight="1">
      <c r="A37" s="54" t="s">
        <v>386</v>
      </c>
      <c r="B37" s="114" t="s">
        <v>162</v>
      </c>
      <c r="C37" s="56">
        <v>694</v>
      </c>
      <c r="D37" s="56">
        <v>11924</v>
      </c>
      <c r="E37" s="208">
        <v>884</v>
      </c>
      <c r="F37" s="56">
        <v>564</v>
      </c>
      <c r="G37" s="56">
        <v>1499</v>
      </c>
    </row>
    <row r="38" spans="1:7">
      <c r="E38" s="56"/>
      <c r="G38" s="56"/>
    </row>
    <row r="39" spans="1:7" ht="14" customHeight="1">
      <c r="A39" s="255"/>
      <c r="B39" s="256"/>
      <c r="C39" s="256"/>
    </row>
    <row r="41" spans="1:7" ht="16" customHeight="1">
      <c r="A41" s="257" t="s">
        <v>392</v>
      </c>
      <c r="B41" s="256"/>
      <c r="C41" s="256"/>
    </row>
    <row r="43" spans="1:7" ht="14" customHeight="1">
      <c r="A43" s="258" t="s">
        <v>162</v>
      </c>
      <c r="B43" s="258"/>
      <c r="C43" s="254" t="s">
        <v>342</v>
      </c>
      <c r="D43" s="254" t="s">
        <v>365</v>
      </c>
      <c r="E43" s="254" t="s">
        <v>343</v>
      </c>
      <c r="F43" s="254" t="s">
        <v>344</v>
      </c>
      <c r="G43" s="270" t="s">
        <v>366</v>
      </c>
    </row>
    <row r="44" spans="1:7" ht="14" customHeight="1">
      <c r="A44" s="258"/>
      <c r="B44" s="258"/>
      <c r="C44" s="254"/>
      <c r="D44" s="254"/>
      <c r="E44" s="254"/>
      <c r="F44" s="254"/>
      <c r="G44" s="271"/>
    </row>
    <row r="45" spans="1:7" ht="14" customHeight="1">
      <c r="A45" s="54" t="s">
        <v>188</v>
      </c>
      <c r="B45" s="114" t="s">
        <v>162</v>
      </c>
      <c r="C45" s="56">
        <v>9061</v>
      </c>
      <c r="D45" s="56">
        <v>36129</v>
      </c>
      <c r="E45" s="213">
        <v>11573</v>
      </c>
      <c r="F45" s="56">
        <v>4652</v>
      </c>
      <c r="G45" s="56">
        <v>18098</v>
      </c>
    </row>
    <row r="46" spans="1:7" ht="29" customHeight="1">
      <c r="A46" s="57" t="s">
        <v>189</v>
      </c>
      <c r="B46" s="114" t="s">
        <v>162</v>
      </c>
      <c r="C46" s="56">
        <v>1029</v>
      </c>
      <c r="D46" s="56">
        <v>4375</v>
      </c>
      <c r="E46" s="213">
        <v>1838</v>
      </c>
      <c r="F46" s="56">
        <v>782</v>
      </c>
      <c r="G46" s="56">
        <v>2757</v>
      </c>
    </row>
    <row r="47" spans="1:7" ht="14" customHeight="1">
      <c r="A47" s="54" t="s">
        <v>190</v>
      </c>
      <c r="B47" s="114" t="s">
        <v>162</v>
      </c>
      <c r="C47" s="56">
        <v>767</v>
      </c>
      <c r="D47" s="56">
        <v>12524</v>
      </c>
      <c r="E47" s="213">
        <v>1246</v>
      </c>
      <c r="F47" s="56">
        <v>667</v>
      </c>
      <c r="G47" s="56">
        <v>1720</v>
      </c>
    </row>
    <row r="48" spans="1:7">
      <c r="E48" s="56"/>
      <c r="G48" s="56"/>
    </row>
    <row r="49" spans="1:27" ht="14" customHeight="1">
      <c r="A49" s="255"/>
      <c r="B49" s="256"/>
      <c r="C49" s="256"/>
    </row>
    <row r="51" spans="1:27" ht="16" customHeight="1">
      <c r="A51" s="257" t="s">
        <v>393</v>
      </c>
      <c r="B51" s="256"/>
      <c r="C51" s="256"/>
    </row>
    <row r="53" spans="1:27" ht="14" customHeight="1">
      <c r="A53" s="258" t="s">
        <v>162</v>
      </c>
      <c r="B53" s="258"/>
      <c r="C53" s="254" t="s">
        <v>342</v>
      </c>
      <c r="D53" s="254" t="s">
        <v>365</v>
      </c>
      <c r="E53" s="254" t="s">
        <v>343</v>
      </c>
      <c r="F53" s="254" t="s">
        <v>344</v>
      </c>
      <c r="G53" s="270" t="s">
        <v>366</v>
      </c>
    </row>
    <row r="54" spans="1:27" ht="14" customHeight="1">
      <c r="A54" s="258"/>
      <c r="B54" s="258"/>
      <c r="C54" s="254"/>
      <c r="D54" s="254"/>
      <c r="E54" s="254"/>
      <c r="F54" s="254"/>
      <c r="G54" s="271"/>
    </row>
    <row r="55" spans="1:27" ht="14" customHeight="1">
      <c r="A55" s="54" t="s">
        <v>191</v>
      </c>
      <c r="B55" s="114" t="s">
        <v>162</v>
      </c>
      <c r="C55" s="56">
        <v>760</v>
      </c>
      <c r="D55" s="56">
        <v>12443</v>
      </c>
      <c r="E55" s="213">
        <v>1200</v>
      </c>
      <c r="F55" s="56">
        <v>651</v>
      </c>
      <c r="G55" s="56">
        <v>1678</v>
      </c>
    </row>
    <row r="56" spans="1:27" ht="14" customHeight="1">
      <c r="A56" s="54" t="s">
        <v>192</v>
      </c>
      <c r="B56" s="114" t="s">
        <v>162</v>
      </c>
      <c r="C56" s="56">
        <v>8</v>
      </c>
      <c r="D56" s="56">
        <v>91</v>
      </c>
      <c r="E56" s="208">
        <v>48</v>
      </c>
      <c r="F56" s="56">
        <v>16</v>
      </c>
      <c r="G56" s="56">
        <v>42</v>
      </c>
    </row>
    <row r="57" spans="1:27" ht="14" customHeight="1">
      <c r="A57" s="54" t="s">
        <v>193</v>
      </c>
      <c r="B57" s="114" t="s">
        <v>162</v>
      </c>
      <c r="C57" s="56">
        <v>1030</v>
      </c>
      <c r="D57" s="56">
        <v>4377</v>
      </c>
      <c r="E57" s="213">
        <v>1841</v>
      </c>
      <c r="F57" s="56">
        <v>785</v>
      </c>
      <c r="G57" s="56">
        <v>2762</v>
      </c>
    </row>
    <row r="58" spans="1:27">
      <c r="E58" s="56"/>
      <c r="G58" s="56"/>
    </row>
    <row r="59" spans="1:27" ht="14" customHeight="1">
      <c r="A59" s="255"/>
      <c r="B59" s="256"/>
      <c r="C59" s="256"/>
    </row>
    <row r="61" spans="1:27" ht="16" customHeight="1">
      <c r="A61" s="257" t="s">
        <v>394</v>
      </c>
      <c r="B61" s="256"/>
      <c r="C61" s="256"/>
    </row>
    <row r="63" spans="1:27" ht="14" customHeight="1">
      <c r="A63" s="258" t="s">
        <v>162</v>
      </c>
      <c r="B63" s="258"/>
      <c r="C63" s="254" t="s">
        <v>342</v>
      </c>
      <c r="D63" s="254"/>
      <c r="E63" s="254"/>
      <c r="F63" s="254"/>
      <c r="G63" s="270" t="s">
        <v>80</v>
      </c>
      <c r="H63" s="254" t="s">
        <v>365</v>
      </c>
      <c r="I63" s="254"/>
      <c r="J63" s="254"/>
      <c r="K63" s="254"/>
      <c r="L63" s="254" t="s">
        <v>80</v>
      </c>
      <c r="M63" s="254" t="s">
        <v>343</v>
      </c>
      <c r="N63" s="254"/>
      <c r="O63" s="254"/>
      <c r="P63" s="254"/>
      <c r="Q63" s="254" t="s">
        <v>80</v>
      </c>
      <c r="R63" s="254" t="s">
        <v>344</v>
      </c>
      <c r="S63" s="254"/>
      <c r="T63" s="254"/>
      <c r="U63" s="254"/>
      <c r="V63" s="254" t="s">
        <v>80</v>
      </c>
      <c r="W63" s="272" t="s">
        <v>366</v>
      </c>
      <c r="X63" s="273"/>
      <c r="Y63" s="273"/>
      <c r="Z63" s="274"/>
      <c r="AA63" s="275" t="s">
        <v>80</v>
      </c>
    </row>
    <row r="64" spans="1:27" ht="14" customHeight="1">
      <c r="A64" s="258"/>
      <c r="B64" s="258"/>
      <c r="C64" s="114">
        <v>1</v>
      </c>
      <c r="D64" s="114">
        <v>2</v>
      </c>
      <c r="E64" s="114">
        <v>3</v>
      </c>
      <c r="F64" s="114">
        <v>4</v>
      </c>
      <c r="G64" s="271"/>
      <c r="H64" s="114">
        <v>1</v>
      </c>
      <c r="I64" s="114">
        <v>2</v>
      </c>
      <c r="J64" s="114">
        <v>3</v>
      </c>
      <c r="K64" s="114">
        <v>4</v>
      </c>
      <c r="L64" s="254"/>
      <c r="M64" s="114">
        <v>1</v>
      </c>
      <c r="N64" s="114">
        <v>2</v>
      </c>
      <c r="O64" s="114">
        <v>3</v>
      </c>
      <c r="P64" s="114">
        <v>4</v>
      </c>
      <c r="Q64" s="254"/>
      <c r="R64" s="114">
        <v>1</v>
      </c>
      <c r="S64" s="114">
        <v>2</v>
      </c>
      <c r="T64" s="114">
        <v>3</v>
      </c>
      <c r="U64" s="114">
        <v>4</v>
      </c>
      <c r="V64" s="254"/>
      <c r="W64" s="171">
        <v>1</v>
      </c>
      <c r="X64" s="172">
        <v>2</v>
      </c>
      <c r="Y64" s="172">
        <v>3</v>
      </c>
      <c r="Z64" s="172">
        <v>4</v>
      </c>
      <c r="AA64" s="276"/>
    </row>
    <row r="65" spans="1:27" ht="14" customHeight="1">
      <c r="A65" s="54" t="s">
        <v>188</v>
      </c>
      <c r="B65" s="114" t="s">
        <v>162</v>
      </c>
      <c r="C65" s="56">
        <v>4961</v>
      </c>
      <c r="D65" s="56">
        <v>3418</v>
      </c>
      <c r="E65" s="56">
        <v>31</v>
      </c>
      <c r="F65" s="56">
        <v>671</v>
      </c>
      <c r="G65" s="56">
        <v>9081</v>
      </c>
      <c r="H65" s="56">
        <v>28344</v>
      </c>
      <c r="I65" s="56">
        <v>6305</v>
      </c>
      <c r="J65" s="56">
        <v>83</v>
      </c>
      <c r="K65" s="56">
        <v>1435</v>
      </c>
      <c r="L65" s="56">
        <v>36167</v>
      </c>
      <c r="M65" s="213">
        <v>7792</v>
      </c>
      <c r="N65" s="213">
        <v>3151</v>
      </c>
      <c r="O65" s="208">
        <v>33</v>
      </c>
      <c r="P65" s="208">
        <v>635</v>
      </c>
      <c r="Q65" s="213">
        <v>11611</v>
      </c>
      <c r="R65" s="56">
        <v>2896</v>
      </c>
      <c r="S65" s="56">
        <v>1526</v>
      </c>
      <c r="T65" s="56">
        <v>17</v>
      </c>
      <c r="U65" s="56">
        <v>223</v>
      </c>
      <c r="V65" s="56">
        <v>4662</v>
      </c>
      <c r="W65" s="56">
        <v>11828</v>
      </c>
      <c r="X65" s="56">
        <v>5512</v>
      </c>
      <c r="Y65" s="56">
        <v>55</v>
      </c>
      <c r="Z65" s="56">
        <v>729</v>
      </c>
      <c r="AA65" s="56">
        <v>18124</v>
      </c>
    </row>
    <row r="66" spans="1:27" ht="14" customHeight="1">
      <c r="A66" s="54" t="s">
        <v>194</v>
      </c>
      <c r="B66" s="114" t="s">
        <v>162</v>
      </c>
      <c r="C66" s="56">
        <v>671</v>
      </c>
      <c r="D66" s="56">
        <v>274</v>
      </c>
      <c r="E66" s="56">
        <v>1</v>
      </c>
      <c r="F66" s="56">
        <v>84</v>
      </c>
      <c r="G66" s="56">
        <v>1030</v>
      </c>
      <c r="H66" s="56">
        <v>3800</v>
      </c>
      <c r="I66" s="56">
        <v>389</v>
      </c>
      <c r="J66" s="56">
        <v>6</v>
      </c>
      <c r="K66" s="56">
        <v>182</v>
      </c>
      <c r="L66" s="56">
        <v>4377</v>
      </c>
      <c r="M66" s="213">
        <v>1444</v>
      </c>
      <c r="N66" s="208">
        <v>276</v>
      </c>
      <c r="O66" s="208">
        <v>3</v>
      </c>
      <c r="P66" s="208">
        <v>118</v>
      </c>
      <c r="Q66" s="213">
        <v>1841</v>
      </c>
      <c r="R66" s="56">
        <v>578</v>
      </c>
      <c r="S66" s="56">
        <v>169</v>
      </c>
      <c r="T66" s="56">
        <v>0</v>
      </c>
      <c r="U66" s="56">
        <v>38</v>
      </c>
      <c r="V66" s="56">
        <v>785</v>
      </c>
      <c r="W66" s="56">
        <v>2123</v>
      </c>
      <c r="X66" s="56">
        <v>499</v>
      </c>
      <c r="Y66" s="56">
        <v>6</v>
      </c>
      <c r="Z66" s="56">
        <v>134</v>
      </c>
      <c r="AA66" s="56">
        <v>2762</v>
      </c>
    </row>
    <row r="67" spans="1:27" ht="14" customHeight="1">
      <c r="A67" s="54" t="s">
        <v>190</v>
      </c>
      <c r="B67" s="114" t="s">
        <v>162</v>
      </c>
      <c r="C67" s="56">
        <v>657</v>
      </c>
      <c r="D67" s="56">
        <v>31</v>
      </c>
      <c r="E67" s="56">
        <v>2</v>
      </c>
      <c r="F67" s="56">
        <v>78</v>
      </c>
      <c r="G67" s="56">
        <v>768</v>
      </c>
      <c r="H67" s="56">
        <v>12029</v>
      </c>
      <c r="I67" s="56">
        <v>222</v>
      </c>
      <c r="J67" s="56">
        <v>10</v>
      </c>
      <c r="K67" s="56">
        <v>273</v>
      </c>
      <c r="L67" s="56">
        <v>12534</v>
      </c>
      <c r="M67" s="213">
        <v>1103</v>
      </c>
      <c r="N67" s="208">
        <v>70</v>
      </c>
      <c r="O67" s="208">
        <v>0</v>
      </c>
      <c r="P67" s="208">
        <v>75</v>
      </c>
      <c r="Q67" s="213">
        <v>1248</v>
      </c>
      <c r="R67" s="56">
        <v>594</v>
      </c>
      <c r="S67" s="56">
        <v>40</v>
      </c>
      <c r="T67" s="56">
        <v>0</v>
      </c>
      <c r="U67" s="56">
        <v>33</v>
      </c>
      <c r="V67" s="56">
        <v>667</v>
      </c>
      <c r="W67" s="56">
        <v>1538</v>
      </c>
      <c r="X67" s="56">
        <v>102</v>
      </c>
      <c r="Y67" s="56">
        <v>2</v>
      </c>
      <c r="Z67" s="56">
        <v>78</v>
      </c>
      <c r="AA67" s="56">
        <v>1720</v>
      </c>
    </row>
    <row r="69" spans="1:27" ht="14" customHeight="1">
      <c r="A69" s="255"/>
      <c r="B69" s="256"/>
      <c r="C69" s="256"/>
    </row>
    <row r="71" spans="1:27" ht="16" customHeight="1">
      <c r="A71" s="257" t="s">
        <v>395</v>
      </c>
      <c r="B71" s="256"/>
      <c r="C71" s="256"/>
    </row>
    <row r="73" spans="1:27" ht="14" customHeight="1">
      <c r="A73" s="258" t="s">
        <v>162</v>
      </c>
      <c r="B73" s="258"/>
      <c r="C73" s="254" t="s">
        <v>342</v>
      </c>
      <c r="D73" s="254" t="s">
        <v>365</v>
      </c>
      <c r="E73" s="254" t="s">
        <v>343</v>
      </c>
      <c r="F73" s="254" t="s">
        <v>344</v>
      </c>
      <c r="G73" s="270" t="s">
        <v>366</v>
      </c>
    </row>
    <row r="74" spans="1:27" ht="14" customHeight="1">
      <c r="A74" s="258"/>
      <c r="B74" s="258"/>
      <c r="C74" s="254"/>
      <c r="D74" s="254"/>
      <c r="E74" s="254"/>
      <c r="F74" s="254"/>
      <c r="G74" s="271"/>
    </row>
    <row r="75" spans="1:27" ht="14" customHeight="1">
      <c r="A75" s="54" t="s">
        <v>195</v>
      </c>
      <c r="B75" s="114" t="s">
        <v>162</v>
      </c>
      <c r="C75" s="56">
        <v>7334</v>
      </c>
      <c r="D75" s="56">
        <v>31922</v>
      </c>
      <c r="E75" s="213">
        <v>8174</v>
      </c>
      <c r="F75" s="56">
        <v>3731</v>
      </c>
      <c r="G75" s="56">
        <v>14721</v>
      </c>
    </row>
    <row r="76" spans="1:27" ht="14" customHeight="1">
      <c r="A76" s="54" t="s">
        <v>196</v>
      </c>
      <c r="B76" s="114" t="s">
        <v>162</v>
      </c>
      <c r="C76" s="56">
        <v>1752</v>
      </c>
      <c r="D76" s="56">
        <v>4404</v>
      </c>
      <c r="E76" s="213">
        <v>3540</v>
      </c>
      <c r="F76" s="56">
        <v>958</v>
      </c>
      <c r="G76" s="56">
        <v>3438</v>
      </c>
    </row>
    <row r="77" spans="1:27" ht="29" customHeight="1">
      <c r="A77" s="57" t="s">
        <v>197</v>
      </c>
      <c r="B77" s="114" t="s">
        <v>162</v>
      </c>
      <c r="C77" s="56">
        <v>1558</v>
      </c>
      <c r="D77" s="56">
        <v>4054</v>
      </c>
      <c r="E77" s="213">
        <v>3289</v>
      </c>
      <c r="F77" s="56">
        <v>874</v>
      </c>
      <c r="G77" s="56">
        <v>2835</v>
      </c>
    </row>
    <row r="78" spans="1:27" ht="29" customHeight="1">
      <c r="A78" s="57" t="s">
        <v>198</v>
      </c>
      <c r="B78" s="114" t="s">
        <v>162</v>
      </c>
      <c r="C78" s="56">
        <v>1558</v>
      </c>
      <c r="D78" s="56">
        <v>4054</v>
      </c>
      <c r="E78" s="213">
        <v>3289</v>
      </c>
      <c r="F78" s="56">
        <v>874</v>
      </c>
      <c r="G78" s="56">
        <v>3074</v>
      </c>
    </row>
  </sheetData>
  <mergeCells count="68">
    <mergeCell ref="A1:C1"/>
    <mergeCell ref="A3:B4"/>
    <mergeCell ref="C3:C4"/>
    <mergeCell ref="A9:C9"/>
    <mergeCell ref="A11:C11"/>
    <mergeCell ref="A13:B14"/>
    <mergeCell ref="C13:C14"/>
    <mergeCell ref="A19:C19"/>
    <mergeCell ref="A21:C21"/>
    <mergeCell ref="A23:B24"/>
    <mergeCell ref="C23:C24"/>
    <mergeCell ref="A29:C29"/>
    <mergeCell ref="A31:C31"/>
    <mergeCell ref="A33:B34"/>
    <mergeCell ref="C33:C34"/>
    <mergeCell ref="A39:C39"/>
    <mergeCell ref="A63:B64"/>
    <mergeCell ref="C63:F63"/>
    <mergeCell ref="A41:C41"/>
    <mergeCell ref="A43:B44"/>
    <mergeCell ref="C43:C44"/>
    <mergeCell ref="A49:C49"/>
    <mergeCell ref="A51:C51"/>
    <mergeCell ref="D53:D54"/>
    <mergeCell ref="A53:B54"/>
    <mergeCell ref="C53:C54"/>
    <mergeCell ref="A59:C59"/>
    <mergeCell ref="A61:C61"/>
    <mergeCell ref="D73:D74"/>
    <mergeCell ref="A69:C69"/>
    <mergeCell ref="A71:C71"/>
    <mergeCell ref="A73:B74"/>
    <mergeCell ref="C73:C74"/>
    <mergeCell ref="D3:D4"/>
    <mergeCell ref="D13:D14"/>
    <mergeCell ref="D23:D24"/>
    <mergeCell ref="D33:D34"/>
    <mergeCell ref="D43:D44"/>
    <mergeCell ref="E73:E74"/>
    <mergeCell ref="F3:F4"/>
    <mergeCell ref="F13:F14"/>
    <mergeCell ref="F23:F24"/>
    <mergeCell ref="F33:F34"/>
    <mergeCell ref="F43:F44"/>
    <mergeCell ref="F53:F54"/>
    <mergeCell ref="F73:F74"/>
    <mergeCell ref="E3:E4"/>
    <mergeCell ref="E13:E14"/>
    <mergeCell ref="E23:E24"/>
    <mergeCell ref="E33:E34"/>
    <mergeCell ref="E43:E44"/>
    <mergeCell ref="E53:E54"/>
    <mergeCell ref="G73:G74"/>
    <mergeCell ref="V63:V64"/>
    <mergeCell ref="W63:Z63"/>
    <mergeCell ref="AA63:AA64"/>
    <mergeCell ref="G3:G4"/>
    <mergeCell ref="G13:G14"/>
    <mergeCell ref="G23:G24"/>
    <mergeCell ref="G33:G34"/>
    <mergeCell ref="G43:G44"/>
    <mergeCell ref="G53:G54"/>
    <mergeCell ref="G63:G64"/>
    <mergeCell ref="H63:K63"/>
    <mergeCell ref="L63:L64"/>
    <mergeCell ref="M63:P63"/>
    <mergeCell ref="Q63:Q64"/>
    <mergeCell ref="R63:U6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72"/>
  <sheetViews>
    <sheetView workbookViewId="0">
      <selection activeCell="H15" sqref="H15"/>
    </sheetView>
  </sheetViews>
  <sheetFormatPr baseColWidth="10" defaultColWidth="11.5" defaultRowHeight="15"/>
  <sheetData>
    <row r="1" spans="1:5" s="80" customFormat="1" ht="154">
      <c r="C1" s="57" t="s">
        <v>188</v>
      </c>
      <c r="D1" s="57" t="s">
        <v>189</v>
      </c>
      <c r="E1" s="57" t="s">
        <v>190</v>
      </c>
    </row>
    <row r="2" spans="1:5">
      <c r="A2" s="81" t="s">
        <v>58</v>
      </c>
      <c r="B2" s="81" t="s">
        <v>164</v>
      </c>
      <c r="C2" s="56">
        <v>2101</v>
      </c>
      <c r="D2" s="56">
        <v>222</v>
      </c>
      <c r="E2" s="56">
        <v>154</v>
      </c>
    </row>
    <row r="3" spans="1:5">
      <c r="A3" s="81"/>
      <c r="B3" s="81" t="s">
        <v>165</v>
      </c>
      <c r="C3" s="56">
        <v>2338</v>
      </c>
      <c r="D3" s="56">
        <v>296</v>
      </c>
      <c r="E3" s="56">
        <v>199</v>
      </c>
    </row>
    <row r="4" spans="1:5">
      <c r="A4" s="82"/>
      <c r="B4" s="81" t="s">
        <v>166</v>
      </c>
      <c r="C4" s="56">
        <v>2330</v>
      </c>
      <c r="D4" s="56">
        <v>273</v>
      </c>
      <c r="E4" s="56">
        <v>221</v>
      </c>
    </row>
    <row r="5" spans="1:5">
      <c r="A5" s="81"/>
      <c r="B5" s="81" t="s">
        <v>167</v>
      </c>
      <c r="C5" s="56">
        <v>2292</v>
      </c>
      <c r="D5" s="56">
        <v>238</v>
      </c>
      <c r="E5" s="56">
        <v>193</v>
      </c>
    </row>
    <row r="6" spans="1:5">
      <c r="A6" s="81"/>
      <c r="B6" s="81"/>
    </row>
    <row r="7" spans="1:5">
      <c r="A7" s="81" t="s">
        <v>59</v>
      </c>
      <c r="B7" s="81" t="s">
        <v>164</v>
      </c>
      <c r="C7" s="56">
        <v>2875</v>
      </c>
      <c r="D7" s="56">
        <v>337</v>
      </c>
      <c r="E7" s="56">
        <v>883</v>
      </c>
    </row>
    <row r="8" spans="1:5">
      <c r="A8" s="81"/>
      <c r="B8" s="81" t="s">
        <v>165</v>
      </c>
      <c r="C8" s="56">
        <v>3304</v>
      </c>
      <c r="D8" s="56">
        <v>368</v>
      </c>
      <c r="E8" s="56">
        <v>1114</v>
      </c>
    </row>
    <row r="9" spans="1:5">
      <c r="A9" s="82"/>
      <c r="B9" s="81" t="s">
        <v>166</v>
      </c>
      <c r="C9" s="56">
        <v>3713</v>
      </c>
      <c r="D9" s="56">
        <v>456</v>
      </c>
      <c r="E9" s="56">
        <v>1416</v>
      </c>
    </row>
    <row r="10" spans="1:5">
      <c r="A10" s="81"/>
      <c r="B10" s="81" t="s">
        <v>167</v>
      </c>
      <c r="C10" s="56">
        <v>3228</v>
      </c>
      <c r="D10" s="56">
        <v>385</v>
      </c>
      <c r="E10" s="56">
        <v>1153</v>
      </c>
    </row>
    <row r="11" spans="1:5">
      <c r="A11" s="20"/>
      <c r="B11" s="20"/>
    </row>
    <row r="12" spans="1:5">
      <c r="A12" s="81" t="s">
        <v>60</v>
      </c>
      <c r="B12" s="81" t="s">
        <v>164</v>
      </c>
      <c r="C12" s="56">
        <v>1128</v>
      </c>
      <c r="D12" s="56">
        <v>207</v>
      </c>
      <c r="E12" s="56">
        <v>149</v>
      </c>
    </row>
    <row r="13" spans="1:5">
      <c r="A13" s="81"/>
      <c r="B13" s="81" t="s">
        <v>165</v>
      </c>
      <c r="C13" s="56">
        <v>1264</v>
      </c>
      <c r="D13" s="56">
        <v>200</v>
      </c>
      <c r="E13" s="56">
        <v>186</v>
      </c>
    </row>
    <row r="14" spans="1:5">
      <c r="A14" s="82"/>
      <c r="B14" s="81" t="s">
        <v>166</v>
      </c>
      <c r="C14" s="56">
        <v>1140</v>
      </c>
      <c r="D14" s="56">
        <v>174</v>
      </c>
      <c r="E14" s="56">
        <v>150</v>
      </c>
    </row>
    <row r="15" spans="1:5">
      <c r="A15" s="81"/>
      <c r="B15" s="81" t="s">
        <v>167</v>
      </c>
      <c r="C15" s="56">
        <v>1130</v>
      </c>
      <c r="D15" s="56">
        <v>204</v>
      </c>
      <c r="E15" s="56">
        <v>182</v>
      </c>
    </row>
    <row r="20" spans="1:5" s="80" customFormat="1" ht="126">
      <c r="C20" s="57" t="s">
        <v>191</v>
      </c>
      <c r="D20" s="57" t="s">
        <v>192</v>
      </c>
      <c r="E20" s="57" t="s">
        <v>193</v>
      </c>
    </row>
    <row r="21" spans="1:5">
      <c r="A21" s="81" t="s">
        <v>58</v>
      </c>
      <c r="B21" s="81" t="s">
        <v>164</v>
      </c>
      <c r="C21" s="56">
        <v>153</v>
      </c>
      <c r="D21" s="56">
        <v>1</v>
      </c>
      <c r="E21" s="56">
        <v>222</v>
      </c>
    </row>
    <row r="22" spans="1:5">
      <c r="A22" s="81"/>
      <c r="B22" s="81" t="s">
        <v>165</v>
      </c>
      <c r="C22" s="56">
        <v>197</v>
      </c>
      <c r="D22" s="56">
        <v>3</v>
      </c>
      <c r="E22" s="56">
        <v>297</v>
      </c>
    </row>
    <row r="23" spans="1:5">
      <c r="A23" s="82"/>
      <c r="B23" s="81" t="s">
        <v>166</v>
      </c>
      <c r="C23" s="56">
        <v>219</v>
      </c>
      <c r="D23" s="56">
        <v>2</v>
      </c>
      <c r="E23" s="56">
        <v>273</v>
      </c>
    </row>
    <row r="24" spans="1:5">
      <c r="A24" s="81"/>
      <c r="B24" s="81" t="s">
        <v>167</v>
      </c>
      <c r="C24" s="56">
        <v>191</v>
      </c>
      <c r="D24" s="56">
        <v>2</v>
      </c>
      <c r="E24" s="56">
        <v>238</v>
      </c>
    </row>
    <row r="25" spans="1:5">
      <c r="A25" s="81"/>
      <c r="B25" s="81"/>
    </row>
    <row r="26" spans="1:5">
      <c r="A26" s="81" t="s">
        <v>59</v>
      </c>
      <c r="B26" s="81" t="s">
        <v>164</v>
      </c>
      <c r="C26" s="56">
        <v>874</v>
      </c>
      <c r="D26" s="56">
        <v>12</v>
      </c>
      <c r="E26" s="56">
        <v>338</v>
      </c>
    </row>
    <row r="27" spans="1:5">
      <c r="A27" s="81"/>
      <c r="B27" s="81" t="s">
        <v>165</v>
      </c>
      <c r="C27" s="56">
        <v>1111</v>
      </c>
      <c r="D27" s="56" t="s">
        <v>255</v>
      </c>
      <c r="E27" s="56">
        <v>369</v>
      </c>
    </row>
    <row r="28" spans="1:5">
      <c r="A28" s="82"/>
      <c r="B28" s="81" t="s">
        <v>166</v>
      </c>
      <c r="C28" s="56">
        <v>1409</v>
      </c>
      <c r="D28" s="56">
        <v>7</v>
      </c>
      <c r="E28" s="56">
        <v>456</v>
      </c>
    </row>
    <row r="29" spans="1:5">
      <c r="A29" s="81"/>
      <c r="B29" s="81" t="s">
        <v>167</v>
      </c>
      <c r="C29" s="56">
        <v>1145</v>
      </c>
      <c r="D29" s="56">
        <v>8</v>
      </c>
      <c r="E29" s="56">
        <v>385</v>
      </c>
    </row>
    <row r="30" spans="1:5">
      <c r="A30" s="20"/>
      <c r="B30" s="20"/>
    </row>
    <row r="31" spans="1:5">
      <c r="A31" s="81" t="s">
        <v>60</v>
      </c>
      <c r="B31" s="81" t="s">
        <v>164</v>
      </c>
      <c r="C31" s="56">
        <v>145</v>
      </c>
      <c r="D31" s="56">
        <v>4</v>
      </c>
      <c r="E31" s="56">
        <v>207</v>
      </c>
    </row>
    <row r="32" spans="1:5">
      <c r="A32" s="81"/>
      <c r="B32" s="81" t="s">
        <v>165</v>
      </c>
      <c r="C32" s="56">
        <v>183</v>
      </c>
      <c r="D32" s="56">
        <v>3</v>
      </c>
      <c r="E32" s="56">
        <v>200</v>
      </c>
    </row>
    <row r="33" spans="1:7">
      <c r="A33" s="82"/>
      <c r="B33" s="81" t="s">
        <v>166</v>
      </c>
      <c r="C33" s="56">
        <v>145</v>
      </c>
      <c r="D33" s="56">
        <v>5</v>
      </c>
      <c r="E33" s="56">
        <v>174</v>
      </c>
    </row>
    <row r="34" spans="1:7">
      <c r="A34" s="81"/>
      <c r="B34" s="81" t="s">
        <v>167</v>
      </c>
      <c r="C34" s="56">
        <v>178</v>
      </c>
      <c r="D34" s="56">
        <v>4</v>
      </c>
      <c r="E34" s="56">
        <v>204</v>
      </c>
    </row>
    <row r="39" spans="1:7" s="80" customFormat="1" ht="154">
      <c r="C39" s="57" t="s">
        <v>188</v>
      </c>
      <c r="D39" s="57" t="s">
        <v>194</v>
      </c>
      <c r="E39" s="57" t="s">
        <v>190</v>
      </c>
    </row>
    <row r="40" spans="1:7">
      <c r="A40" s="81" t="s">
        <v>58</v>
      </c>
      <c r="B40" s="81">
        <v>1</v>
      </c>
      <c r="C40" s="56">
        <v>4961</v>
      </c>
      <c r="D40" s="56">
        <v>671</v>
      </c>
      <c r="E40" s="56">
        <v>657</v>
      </c>
      <c r="G40" s="59" t="s">
        <v>38</v>
      </c>
    </row>
    <row r="41" spans="1:7">
      <c r="A41" s="81"/>
      <c r="B41" s="81">
        <v>2</v>
      </c>
      <c r="C41" s="56">
        <v>3418</v>
      </c>
      <c r="D41" s="56">
        <v>274</v>
      </c>
      <c r="E41" s="56">
        <v>31</v>
      </c>
      <c r="G41" s="59" t="s">
        <v>42</v>
      </c>
    </row>
    <row r="42" spans="1:7">
      <c r="A42" s="82"/>
      <c r="B42" s="81">
        <v>3</v>
      </c>
      <c r="C42" s="56">
        <v>31</v>
      </c>
      <c r="D42" s="56">
        <v>1</v>
      </c>
      <c r="E42" s="56">
        <v>2</v>
      </c>
      <c r="G42" s="59" t="s">
        <v>39</v>
      </c>
    </row>
    <row r="43" spans="1:7">
      <c r="A43" s="81"/>
      <c r="B43" s="81">
        <v>4</v>
      </c>
      <c r="C43" s="56">
        <v>671</v>
      </c>
      <c r="D43" s="56">
        <v>84</v>
      </c>
      <c r="E43" s="56">
        <v>78</v>
      </c>
      <c r="G43" s="59" t="s">
        <v>40</v>
      </c>
    </row>
    <row r="44" spans="1:7">
      <c r="A44" s="81"/>
      <c r="B44" s="81"/>
    </row>
    <row r="45" spans="1:7">
      <c r="A45" s="81" t="s">
        <v>59</v>
      </c>
      <c r="B45" s="81">
        <v>1</v>
      </c>
      <c r="C45" s="56">
        <v>28344</v>
      </c>
      <c r="D45" s="56">
        <v>3800</v>
      </c>
      <c r="E45" s="56">
        <v>12029</v>
      </c>
    </row>
    <row r="46" spans="1:7">
      <c r="A46" s="81"/>
      <c r="B46" s="81">
        <v>2</v>
      </c>
      <c r="C46" s="56">
        <v>6305</v>
      </c>
      <c r="D46" s="56">
        <v>389</v>
      </c>
      <c r="E46" s="56">
        <v>222</v>
      </c>
    </row>
    <row r="47" spans="1:7">
      <c r="A47" s="82"/>
      <c r="B47" s="81">
        <v>3</v>
      </c>
      <c r="C47" s="56">
        <v>83</v>
      </c>
      <c r="D47" s="56">
        <v>6</v>
      </c>
      <c r="E47" s="56">
        <v>10</v>
      </c>
    </row>
    <row r="48" spans="1:7">
      <c r="A48" s="81"/>
      <c r="B48" s="81">
        <v>4</v>
      </c>
      <c r="C48" s="56">
        <v>1435</v>
      </c>
      <c r="D48" s="56">
        <v>182</v>
      </c>
      <c r="E48" s="56">
        <v>273</v>
      </c>
    </row>
    <row r="49" spans="1:5">
      <c r="A49" s="20"/>
      <c r="B49" s="20"/>
    </row>
    <row r="50" spans="1:5">
      <c r="A50" s="81" t="s">
        <v>60</v>
      </c>
      <c r="B50" s="81">
        <v>1</v>
      </c>
      <c r="C50" s="56">
        <v>2896</v>
      </c>
      <c r="D50" s="56">
        <v>578</v>
      </c>
      <c r="E50" s="56">
        <v>594</v>
      </c>
    </row>
    <row r="51" spans="1:5">
      <c r="A51" s="81"/>
      <c r="B51" s="81">
        <v>2</v>
      </c>
      <c r="C51" s="56">
        <v>1526</v>
      </c>
      <c r="D51" s="56">
        <v>169</v>
      </c>
      <c r="E51" s="56">
        <v>40</v>
      </c>
    </row>
    <row r="52" spans="1:5">
      <c r="A52" s="82"/>
      <c r="B52" s="81">
        <v>3</v>
      </c>
      <c r="C52" s="56">
        <v>17</v>
      </c>
      <c r="D52" s="56">
        <v>0</v>
      </c>
      <c r="E52" s="56">
        <v>0</v>
      </c>
    </row>
    <row r="53" spans="1:5">
      <c r="A53" s="81"/>
      <c r="B53" s="81">
        <v>4</v>
      </c>
      <c r="C53" s="56">
        <v>223</v>
      </c>
      <c r="D53" s="56">
        <v>38</v>
      </c>
      <c r="E53" s="56">
        <v>33</v>
      </c>
    </row>
    <row r="59" spans="1:5">
      <c r="A59" s="81" t="s">
        <v>58</v>
      </c>
      <c r="B59" s="81" t="s">
        <v>164</v>
      </c>
    </row>
    <row r="60" spans="1:5">
      <c r="A60" s="81"/>
      <c r="B60" s="81" t="s">
        <v>165</v>
      </c>
    </row>
    <row r="61" spans="1:5">
      <c r="A61" s="82"/>
      <c r="B61" s="81" t="s">
        <v>166</v>
      </c>
    </row>
    <row r="62" spans="1:5">
      <c r="A62" s="81"/>
      <c r="B62" s="81" t="s">
        <v>167</v>
      </c>
    </row>
    <row r="63" spans="1:5">
      <c r="A63" s="81"/>
      <c r="B63" s="81"/>
    </row>
    <row r="64" spans="1:5">
      <c r="A64" s="81" t="s">
        <v>59</v>
      </c>
      <c r="B64" s="81" t="s">
        <v>164</v>
      </c>
    </row>
    <row r="65" spans="1:2">
      <c r="A65" s="81"/>
      <c r="B65" s="81" t="s">
        <v>165</v>
      </c>
    </row>
    <row r="66" spans="1:2">
      <c r="A66" s="82"/>
      <c r="B66" s="81" t="s">
        <v>166</v>
      </c>
    </row>
    <row r="67" spans="1:2">
      <c r="A67" s="81"/>
      <c r="B67" s="81" t="s">
        <v>167</v>
      </c>
    </row>
    <row r="68" spans="1:2">
      <c r="A68" s="20"/>
      <c r="B68" s="20"/>
    </row>
    <row r="69" spans="1:2">
      <c r="A69" s="81" t="s">
        <v>60</v>
      </c>
      <c r="B69" s="81" t="s">
        <v>164</v>
      </c>
    </row>
    <row r="70" spans="1:2">
      <c r="A70" s="81"/>
      <c r="B70" s="81" t="s">
        <v>165</v>
      </c>
    </row>
    <row r="71" spans="1:2">
      <c r="A71" s="82"/>
      <c r="B71" s="81" t="s">
        <v>166</v>
      </c>
    </row>
    <row r="72" spans="1:2">
      <c r="A72" s="81"/>
      <c r="B72" s="81" t="s">
        <v>167</v>
      </c>
    </row>
  </sheetData>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88B4-C3B7-0D48-9E24-E40142050298}">
  <dimension ref="A3:M23"/>
  <sheetViews>
    <sheetView workbookViewId="0">
      <selection activeCell="D6" sqref="D6:D8"/>
    </sheetView>
  </sheetViews>
  <sheetFormatPr baseColWidth="10" defaultColWidth="11.5" defaultRowHeight="12" customHeight="1"/>
  <cols>
    <col min="1" max="1" width="47.1640625" style="131" customWidth="1"/>
    <col min="2" max="2" width="8.6640625" style="131" customWidth="1"/>
    <col min="3" max="7" width="8.6640625" style="142" customWidth="1"/>
    <col min="8" max="16384" width="11.5" style="131"/>
  </cols>
  <sheetData>
    <row r="3" spans="1:13" ht="15">
      <c r="B3" s="180"/>
    </row>
    <row r="4" spans="1:13" ht="15">
      <c r="A4" s="181" t="s">
        <v>415</v>
      </c>
    </row>
    <row r="5" spans="1:13" ht="15">
      <c r="A5" s="137"/>
      <c r="B5" s="170" t="s">
        <v>342</v>
      </c>
      <c r="C5" s="170" t="s">
        <v>365</v>
      </c>
      <c r="D5" s="170" t="s">
        <v>343</v>
      </c>
      <c r="E5" s="170" t="s">
        <v>344</v>
      </c>
      <c r="F5" s="170" t="s">
        <v>366</v>
      </c>
      <c r="G5" s="117"/>
      <c r="H5" s="170" t="s">
        <v>342</v>
      </c>
      <c r="I5" s="170" t="s">
        <v>365</v>
      </c>
      <c r="J5" s="170" t="s">
        <v>343</v>
      </c>
      <c r="K5" s="170" t="s">
        <v>344</v>
      </c>
      <c r="L5" s="170" t="s">
        <v>366</v>
      </c>
      <c r="M5" s="117"/>
    </row>
    <row r="6" spans="1:13" ht="15">
      <c r="A6" s="123" t="s">
        <v>416</v>
      </c>
      <c r="B6" s="56">
        <v>760</v>
      </c>
      <c r="C6" s="56">
        <v>12443</v>
      </c>
      <c r="D6" s="213">
        <v>1200</v>
      </c>
      <c r="E6" s="56">
        <v>651</v>
      </c>
      <c r="F6" s="56">
        <v>1678</v>
      </c>
      <c r="G6" s="125"/>
      <c r="H6" s="159">
        <f>B6/B$9</f>
        <v>0.42269187986651835</v>
      </c>
      <c r="I6" s="159">
        <f t="shared" ref="I6:L8" si="0">C6/C$9</f>
        <v>0.73579327065223821</v>
      </c>
      <c r="J6" s="159">
        <f t="shared" si="0"/>
        <v>0.38847523470378764</v>
      </c>
      <c r="K6" s="159">
        <f t="shared" si="0"/>
        <v>0.44834710743801653</v>
      </c>
      <c r="L6" s="159">
        <f t="shared" si="0"/>
        <v>0.37438643462739846</v>
      </c>
      <c r="M6" s="159"/>
    </row>
    <row r="7" spans="1:13" ht="15">
      <c r="A7" s="123" t="s">
        <v>417</v>
      </c>
      <c r="B7" s="56">
        <v>8</v>
      </c>
      <c r="C7" s="56">
        <v>91</v>
      </c>
      <c r="D7" s="208">
        <v>48</v>
      </c>
      <c r="E7" s="56">
        <v>16</v>
      </c>
      <c r="F7" s="56">
        <v>42</v>
      </c>
      <c r="G7" s="125"/>
      <c r="H7" s="159">
        <f t="shared" ref="H7:H8" si="1">B7/B$9</f>
        <v>4.4493882091212458E-3</v>
      </c>
      <c r="I7" s="159">
        <f t="shared" si="0"/>
        <v>5.3811128851043695E-3</v>
      </c>
      <c r="J7" s="159">
        <f t="shared" si="0"/>
        <v>1.5539009388151505E-2</v>
      </c>
      <c r="K7" s="159">
        <f t="shared" si="0"/>
        <v>1.1019283746556474E-2</v>
      </c>
      <c r="L7" s="159">
        <f t="shared" si="0"/>
        <v>9.3708165997322627E-3</v>
      </c>
      <c r="M7" s="159"/>
    </row>
    <row r="8" spans="1:13" ht="15">
      <c r="A8" s="123" t="s">
        <v>418</v>
      </c>
      <c r="B8" s="56">
        <v>1030</v>
      </c>
      <c r="C8" s="56">
        <v>4377</v>
      </c>
      <c r="D8" s="213">
        <v>1841</v>
      </c>
      <c r="E8" s="56">
        <v>785</v>
      </c>
      <c r="F8" s="56">
        <v>2762</v>
      </c>
      <c r="G8" s="125"/>
      <c r="H8" s="159">
        <f t="shared" si="1"/>
        <v>0.57285873192436043</v>
      </c>
      <c r="I8" s="159">
        <f t="shared" si="0"/>
        <v>0.25882561646265745</v>
      </c>
      <c r="J8" s="159">
        <f t="shared" si="0"/>
        <v>0.59598575590806091</v>
      </c>
      <c r="K8" s="159">
        <f t="shared" si="0"/>
        <v>0.54063360881542699</v>
      </c>
      <c r="L8" s="159">
        <f t="shared" si="0"/>
        <v>0.61624274877286922</v>
      </c>
      <c r="M8" s="159"/>
    </row>
    <row r="9" spans="1:13" ht="15">
      <c r="B9" s="174">
        <f>SUM(B6:B8)</f>
        <v>1798</v>
      </c>
      <c r="C9" s="174">
        <f t="shared" ref="C9:F9" si="2">SUM(C6:C8)</f>
        <v>16911</v>
      </c>
      <c r="D9" s="174">
        <f t="shared" si="2"/>
        <v>3089</v>
      </c>
      <c r="E9" s="174">
        <f t="shared" si="2"/>
        <v>1452</v>
      </c>
      <c r="F9" s="174">
        <f t="shared" si="2"/>
        <v>4482</v>
      </c>
      <c r="G9" s="174"/>
    </row>
    <row r="11" spans="1:13" ht="15">
      <c r="B11" s="180"/>
    </row>
    <row r="12" spans="1:13" ht="15">
      <c r="A12" s="173" t="s">
        <v>419</v>
      </c>
    </row>
    <row r="13" spans="1:13" ht="15">
      <c r="B13" s="170" t="s">
        <v>342</v>
      </c>
      <c r="C13" s="170" t="s">
        <v>365</v>
      </c>
      <c r="D13" s="170" t="s">
        <v>343</v>
      </c>
      <c r="E13" s="170" t="s">
        <v>344</v>
      </c>
      <c r="F13" s="170" t="s">
        <v>366</v>
      </c>
      <c r="G13" s="117"/>
    </row>
    <row r="14" spans="1:13" ht="15">
      <c r="A14" s="123" t="s">
        <v>416</v>
      </c>
      <c r="B14" s="163"/>
      <c r="C14" s="163"/>
      <c r="D14" s="163"/>
      <c r="E14" s="163"/>
      <c r="F14" s="163"/>
      <c r="G14" s="163"/>
    </row>
    <row r="15" spans="1:13" ht="15">
      <c r="A15" s="123" t="s">
        <v>417</v>
      </c>
      <c r="B15" s="163"/>
      <c r="C15" s="163"/>
      <c r="D15" s="163"/>
      <c r="E15" s="163"/>
      <c r="F15" s="163"/>
      <c r="G15" s="163"/>
    </row>
    <row r="16" spans="1:13" ht="15">
      <c r="A16" s="123" t="s">
        <v>418</v>
      </c>
      <c r="B16" s="163"/>
      <c r="C16" s="163"/>
      <c r="D16" s="163"/>
      <c r="E16" s="163"/>
      <c r="F16" s="163"/>
      <c r="G16" s="163"/>
    </row>
    <row r="19" spans="1:7" ht="15">
      <c r="A19" s="173" t="s">
        <v>419</v>
      </c>
    </row>
    <row r="20" spans="1:7" ht="15">
      <c r="B20" s="170" t="s">
        <v>342</v>
      </c>
      <c r="C20" s="170" t="s">
        <v>365</v>
      </c>
      <c r="D20" s="170" t="s">
        <v>343</v>
      </c>
      <c r="E20" s="170" t="s">
        <v>344</v>
      </c>
      <c r="F20" s="170" t="s">
        <v>366</v>
      </c>
      <c r="G20" s="117"/>
    </row>
    <row r="21" spans="1:7" ht="15">
      <c r="A21" s="123" t="s">
        <v>356</v>
      </c>
      <c r="B21" s="163">
        <f>H6</f>
        <v>0.42269187986651835</v>
      </c>
      <c r="C21" s="163">
        <f t="shared" ref="C21:F21" si="3">I6</f>
        <v>0.73579327065223821</v>
      </c>
      <c r="D21" s="163">
        <f t="shared" si="3"/>
        <v>0.38847523470378764</v>
      </c>
      <c r="E21" s="163">
        <f t="shared" si="3"/>
        <v>0.44834710743801653</v>
      </c>
      <c r="F21" s="163">
        <f t="shared" si="3"/>
        <v>0.37438643462739846</v>
      </c>
      <c r="G21" s="163"/>
    </row>
    <row r="22" spans="1:7" ht="15">
      <c r="A22" s="123" t="s">
        <v>420</v>
      </c>
      <c r="B22" s="163">
        <f t="shared" ref="B22:B23" si="4">H7</f>
        <v>4.4493882091212458E-3</v>
      </c>
      <c r="C22" s="163">
        <f t="shared" ref="C22:C23" si="5">I7</f>
        <v>5.3811128851043695E-3</v>
      </c>
      <c r="D22" s="163">
        <f t="shared" ref="D22:D23" si="6">J7</f>
        <v>1.5539009388151505E-2</v>
      </c>
      <c r="E22" s="163">
        <f t="shared" ref="E22:E23" si="7">K7</f>
        <v>1.1019283746556474E-2</v>
      </c>
      <c r="F22" s="163">
        <f t="shared" ref="F22:F23" si="8">L7</f>
        <v>9.3708165997322627E-3</v>
      </c>
      <c r="G22" s="163"/>
    </row>
    <row r="23" spans="1:7" ht="15">
      <c r="A23" s="123" t="s">
        <v>352</v>
      </c>
      <c r="B23" s="163">
        <f t="shared" si="4"/>
        <v>0.57285873192436043</v>
      </c>
      <c r="C23" s="163">
        <f t="shared" si="5"/>
        <v>0.25882561646265745</v>
      </c>
      <c r="D23" s="163">
        <f t="shared" si="6"/>
        <v>0.59598575590806091</v>
      </c>
      <c r="E23" s="163">
        <f t="shared" si="7"/>
        <v>0.54063360881542699</v>
      </c>
      <c r="F23" s="163">
        <f t="shared" si="8"/>
        <v>0.61624274877286922</v>
      </c>
      <c r="G23" s="163"/>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E48C3-0B34-0E47-8B88-D6BBA693F14E}">
  <dimension ref="A2:U54"/>
  <sheetViews>
    <sheetView topLeftCell="L25" zoomScale="80" zoomScaleNormal="80" workbookViewId="0">
      <selection activeCell="F44" sqref="F44"/>
    </sheetView>
  </sheetViews>
  <sheetFormatPr baseColWidth="10" defaultColWidth="11.5" defaultRowHeight="12" customHeight="1"/>
  <cols>
    <col min="1" max="1" width="112" style="131" bestFit="1" customWidth="1"/>
    <col min="2" max="2" width="11.5" style="131"/>
    <col min="3" max="7" width="11.5" style="142"/>
    <col min="8" max="8" width="15.1640625" style="131" customWidth="1"/>
    <col min="9" max="9" width="34.33203125" style="131" customWidth="1"/>
    <col min="10" max="15" width="9.6640625" style="131" customWidth="1"/>
    <col min="16" max="16384" width="11.5" style="131"/>
  </cols>
  <sheetData>
    <row r="2" spans="1:7" ht="15">
      <c r="A2" s="267" t="s">
        <v>389</v>
      </c>
      <c r="B2" s="277"/>
    </row>
    <row r="3" spans="1:7" ht="15">
      <c r="A3" s="133"/>
    </row>
    <row r="4" spans="1:7" ht="15">
      <c r="A4" s="148"/>
      <c r="B4" s="170" t="s">
        <v>342</v>
      </c>
      <c r="C4" s="170" t="s">
        <v>365</v>
      </c>
      <c r="D4" s="170" t="s">
        <v>343</v>
      </c>
      <c r="E4" s="170" t="s">
        <v>344</v>
      </c>
      <c r="F4" s="170" t="s">
        <v>366</v>
      </c>
      <c r="G4" s="117"/>
    </row>
    <row r="5" spans="1:7" ht="15">
      <c r="A5" s="149" t="s">
        <v>188</v>
      </c>
      <c r="B5" s="56">
        <v>9081</v>
      </c>
      <c r="C5" s="56">
        <v>36167</v>
      </c>
      <c r="D5" s="213">
        <v>11611</v>
      </c>
      <c r="E5" s="56">
        <v>4662</v>
      </c>
      <c r="F5" s="56">
        <v>18124</v>
      </c>
      <c r="G5" s="153"/>
    </row>
    <row r="6" spans="1:7" ht="15">
      <c r="A6" s="154" t="s">
        <v>194</v>
      </c>
      <c r="B6" s="56">
        <v>1030</v>
      </c>
      <c r="C6" s="56">
        <v>4377</v>
      </c>
      <c r="D6" s="213">
        <v>1841</v>
      </c>
      <c r="E6" s="56">
        <v>785</v>
      </c>
      <c r="F6" s="56">
        <v>2762</v>
      </c>
      <c r="G6" s="153"/>
    </row>
    <row r="7" spans="1:7" ht="15">
      <c r="A7" s="149" t="s">
        <v>190</v>
      </c>
      <c r="B7" s="56">
        <v>768</v>
      </c>
      <c r="C7" s="56">
        <v>12534</v>
      </c>
      <c r="D7" s="213">
        <v>1248</v>
      </c>
      <c r="E7" s="56">
        <v>667</v>
      </c>
      <c r="F7" s="56">
        <v>1720</v>
      </c>
      <c r="G7" s="153"/>
    </row>
    <row r="8" spans="1:7" ht="15">
      <c r="A8" s="173"/>
      <c r="B8" s="150"/>
      <c r="C8" s="151"/>
      <c r="D8" s="158"/>
      <c r="E8" s="152"/>
      <c r="F8" s="158"/>
      <c r="G8" s="153"/>
    </row>
    <row r="9" spans="1:7" ht="15">
      <c r="A9" s="267" t="s">
        <v>392</v>
      </c>
      <c r="B9" s="277"/>
    </row>
    <row r="10" spans="1:7" ht="15"/>
    <row r="11" spans="1:7" ht="15">
      <c r="A11" s="148"/>
      <c r="B11" s="170" t="s">
        <v>342</v>
      </c>
      <c r="C11" s="170" t="s">
        <v>365</v>
      </c>
      <c r="D11" s="170" t="s">
        <v>343</v>
      </c>
      <c r="E11" s="170" t="s">
        <v>344</v>
      </c>
      <c r="F11" s="170" t="s">
        <v>366</v>
      </c>
      <c r="G11" s="117"/>
    </row>
    <row r="12" spans="1:7" ht="15">
      <c r="A12" s="149" t="s">
        <v>188</v>
      </c>
      <c r="B12" s="56">
        <v>9061</v>
      </c>
      <c r="C12" s="56">
        <v>36129</v>
      </c>
      <c r="D12" s="213">
        <v>11573</v>
      </c>
      <c r="E12" s="56">
        <v>4652</v>
      </c>
      <c r="F12" s="56">
        <v>18098</v>
      </c>
      <c r="G12" s="152"/>
    </row>
    <row r="13" spans="1:7" ht="28">
      <c r="A13" s="154" t="s">
        <v>400</v>
      </c>
      <c r="B13" s="56">
        <v>1029</v>
      </c>
      <c r="C13" s="56">
        <v>4375</v>
      </c>
      <c r="D13" s="213">
        <v>1838</v>
      </c>
      <c r="E13" s="56">
        <v>782</v>
      </c>
      <c r="F13" s="56">
        <v>2757</v>
      </c>
      <c r="G13" s="152"/>
    </row>
    <row r="14" spans="1:7" ht="15">
      <c r="A14" s="149" t="s">
        <v>190</v>
      </c>
      <c r="B14" s="56">
        <v>767</v>
      </c>
      <c r="C14" s="56">
        <v>12524</v>
      </c>
      <c r="D14" s="213">
        <v>1246</v>
      </c>
      <c r="E14" s="56">
        <v>667</v>
      </c>
      <c r="F14" s="56">
        <v>1720</v>
      </c>
      <c r="G14" s="152"/>
    </row>
    <row r="15" spans="1:7" ht="15">
      <c r="B15" s="174"/>
      <c r="C15" s="174"/>
      <c r="D15" s="174"/>
      <c r="E15" s="174"/>
      <c r="F15" s="174"/>
      <c r="G15" s="174"/>
    </row>
    <row r="16" spans="1:7" ht="15">
      <c r="A16" s="262"/>
      <c r="B16" s="277"/>
    </row>
    <row r="17" spans="1:16" ht="15">
      <c r="A17" s="267" t="s">
        <v>389</v>
      </c>
      <c r="B17" s="277"/>
    </row>
    <row r="18" spans="1:16" ht="15">
      <c r="A18" s="133"/>
    </row>
    <row r="19" spans="1:16" ht="15">
      <c r="A19" s="148"/>
      <c r="B19" s="170" t="s">
        <v>342</v>
      </c>
      <c r="C19" s="170" t="s">
        <v>365</v>
      </c>
      <c r="D19" s="170" t="s">
        <v>343</v>
      </c>
      <c r="E19" s="170" t="s">
        <v>344</v>
      </c>
      <c r="F19" s="170" t="s">
        <v>366</v>
      </c>
      <c r="G19" s="117"/>
    </row>
    <row r="20" spans="1:16" ht="15">
      <c r="A20" s="149" t="s">
        <v>401</v>
      </c>
      <c r="B20" s="56">
        <v>9081</v>
      </c>
      <c r="C20" s="56">
        <v>36167</v>
      </c>
      <c r="D20" s="213">
        <v>11611</v>
      </c>
      <c r="E20" s="56">
        <v>4662</v>
      </c>
      <c r="F20" s="56">
        <v>18124</v>
      </c>
      <c r="G20" s="153"/>
    </row>
    <row r="21" spans="1:16" ht="15">
      <c r="A21" s="154" t="s">
        <v>402</v>
      </c>
      <c r="B21" s="56">
        <v>1030</v>
      </c>
      <c r="C21" s="56">
        <v>4377</v>
      </c>
      <c r="D21" s="213">
        <v>1841</v>
      </c>
      <c r="E21" s="56">
        <v>785</v>
      </c>
      <c r="F21" s="56">
        <v>2762</v>
      </c>
      <c r="G21" s="153"/>
    </row>
    <row r="22" spans="1:16" ht="15">
      <c r="A22" s="149" t="s">
        <v>403</v>
      </c>
      <c r="B22" s="56">
        <v>768</v>
      </c>
      <c r="C22" s="56">
        <v>12534</v>
      </c>
      <c r="D22" s="213">
        <v>1248</v>
      </c>
      <c r="E22" s="56">
        <v>667</v>
      </c>
      <c r="F22" s="56">
        <v>1720</v>
      </c>
      <c r="G22" s="153"/>
    </row>
    <row r="23" spans="1:16" ht="15">
      <c r="A23" s="173"/>
      <c r="B23" s="150"/>
      <c r="C23" s="151"/>
      <c r="D23" s="158"/>
      <c r="E23" s="152"/>
      <c r="F23" s="158"/>
      <c r="G23" s="153"/>
    </row>
    <row r="24" spans="1:16" ht="15">
      <c r="A24" s="267" t="s">
        <v>392</v>
      </c>
      <c r="B24" s="277"/>
    </row>
    <row r="26" spans="1:16" ht="15">
      <c r="A26" s="148"/>
      <c r="B26" s="170" t="s">
        <v>342</v>
      </c>
      <c r="C26" s="170" t="s">
        <v>365</v>
      </c>
      <c r="D26" s="170" t="s">
        <v>343</v>
      </c>
      <c r="E26" s="170" t="s">
        <v>344</v>
      </c>
      <c r="F26" s="170" t="s">
        <v>366</v>
      </c>
      <c r="G26" s="117"/>
    </row>
    <row r="27" spans="1:16" ht="15">
      <c r="A27" s="149" t="s">
        <v>404</v>
      </c>
      <c r="B27" s="56">
        <v>9061</v>
      </c>
      <c r="C27" s="56">
        <v>36129</v>
      </c>
      <c r="D27" s="213">
        <v>11573</v>
      </c>
      <c r="E27" s="56">
        <v>4652</v>
      </c>
      <c r="F27" s="56">
        <v>18098</v>
      </c>
      <c r="G27" s="152"/>
    </row>
    <row r="28" spans="1:16" ht="15">
      <c r="A28" s="154" t="s">
        <v>405</v>
      </c>
      <c r="B28" s="56">
        <v>1029</v>
      </c>
      <c r="C28" s="56">
        <v>4375</v>
      </c>
      <c r="D28" s="213">
        <v>1838</v>
      </c>
      <c r="E28" s="56">
        <v>782</v>
      </c>
      <c r="F28" s="56">
        <v>2757</v>
      </c>
      <c r="G28" s="152"/>
    </row>
    <row r="29" spans="1:16" ht="15">
      <c r="A29" s="149" t="s">
        <v>406</v>
      </c>
      <c r="B29" s="56">
        <v>767</v>
      </c>
      <c r="C29" s="56">
        <v>12524</v>
      </c>
      <c r="D29" s="213">
        <v>1246</v>
      </c>
      <c r="E29" s="56">
        <v>667</v>
      </c>
      <c r="F29" s="56">
        <v>1720</v>
      </c>
      <c r="G29" s="152"/>
    </row>
    <row r="30" spans="1:16" ht="15">
      <c r="P30" s="139" t="s">
        <v>407</v>
      </c>
    </row>
    <row r="32" spans="1:16" ht="15">
      <c r="I32" s="141" t="s">
        <v>408</v>
      </c>
    </row>
    <row r="33" spans="3:21" ht="15">
      <c r="C33" s="131"/>
      <c r="D33" s="131"/>
      <c r="E33" s="131"/>
      <c r="F33" s="131"/>
      <c r="G33" s="131"/>
      <c r="I33" s="175"/>
      <c r="J33" s="170" t="s">
        <v>342</v>
      </c>
      <c r="K33" s="170" t="s">
        <v>365</v>
      </c>
      <c r="L33" s="170" t="s">
        <v>343</v>
      </c>
      <c r="M33" s="170" t="s">
        <v>344</v>
      </c>
      <c r="N33" s="170" t="s">
        <v>366</v>
      </c>
      <c r="O33" s="117"/>
      <c r="P33" s="170" t="s">
        <v>342</v>
      </c>
      <c r="Q33" s="170" t="s">
        <v>365</v>
      </c>
      <c r="R33" s="170" t="s">
        <v>343</v>
      </c>
      <c r="S33" s="170" t="s">
        <v>344</v>
      </c>
      <c r="T33" s="170" t="s">
        <v>366</v>
      </c>
      <c r="U33" s="117"/>
    </row>
    <row r="34" spans="3:21" ht="15">
      <c r="C34" s="131"/>
      <c r="D34" s="131"/>
      <c r="E34" s="131"/>
      <c r="F34" s="131"/>
      <c r="G34" s="131"/>
      <c r="H34" s="176"/>
      <c r="I34" s="177" t="s">
        <v>401</v>
      </c>
      <c r="J34" s="56">
        <v>9081</v>
      </c>
      <c r="K34" s="56">
        <v>36167</v>
      </c>
      <c r="L34" s="213">
        <v>11611</v>
      </c>
      <c r="M34" s="56">
        <v>4662</v>
      </c>
      <c r="N34" s="56">
        <v>18124</v>
      </c>
      <c r="O34" s="178"/>
    </row>
    <row r="35" spans="3:21" ht="15">
      <c r="C35" s="131"/>
      <c r="D35" s="131"/>
      <c r="E35" s="131"/>
      <c r="F35" s="131"/>
      <c r="G35" s="131"/>
      <c r="H35" s="176"/>
      <c r="I35" s="123" t="s">
        <v>404</v>
      </c>
      <c r="J35" s="56">
        <v>9061</v>
      </c>
      <c r="K35" s="56">
        <v>36129</v>
      </c>
      <c r="L35" s="213">
        <v>11573</v>
      </c>
      <c r="M35" s="56">
        <v>4652</v>
      </c>
      <c r="N35" s="56">
        <v>18098</v>
      </c>
      <c r="O35" s="165"/>
      <c r="P35" s="179">
        <f>(J34-J35)/J34</f>
        <v>2.2024006166721727E-3</v>
      </c>
      <c r="Q35" s="179">
        <f t="shared" ref="Q35:T35" si="0">(K34-K35)/K34</f>
        <v>1.0506815605386126E-3</v>
      </c>
      <c r="R35" s="179">
        <f t="shared" si="0"/>
        <v>3.2727585909913012E-3</v>
      </c>
      <c r="S35" s="179">
        <f t="shared" si="0"/>
        <v>2.1450021450021449E-3</v>
      </c>
      <c r="T35" s="179">
        <f t="shared" si="0"/>
        <v>1.4345619068638269E-3</v>
      </c>
      <c r="U35" s="179"/>
    </row>
    <row r="36" spans="3:21" ht="15">
      <c r="C36" s="131"/>
      <c r="D36" s="131"/>
      <c r="E36" s="131"/>
      <c r="F36" s="131"/>
      <c r="G36" s="131"/>
      <c r="H36" s="176"/>
      <c r="I36" s="177" t="s">
        <v>409</v>
      </c>
      <c r="J36" s="56">
        <v>1030</v>
      </c>
      <c r="K36" s="56">
        <v>4377</v>
      </c>
      <c r="L36" s="213">
        <v>1841</v>
      </c>
      <c r="M36" s="56">
        <v>785</v>
      </c>
      <c r="N36" s="56">
        <v>2762</v>
      </c>
      <c r="O36" s="178"/>
    </row>
    <row r="37" spans="3:21" ht="15">
      <c r="C37" s="131"/>
      <c r="D37" s="131"/>
      <c r="E37" s="131"/>
      <c r="F37" s="131"/>
      <c r="G37" s="131"/>
      <c r="H37" s="176"/>
      <c r="I37" s="132" t="s">
        <v>410</v>
      </c>
      <c r="J37" s="56">
        <v>1029</v>
      </c>
      <c r="K37" s="56">
        <v>4375</v>
      </c>
      <c r="L37" s="213">
        <v>1838</v>
      </c>
      <c r="M37" s="56">
        <v>782</v>
      </c>
      <c r="N37" s="56">
        <v>2757</v>
      </c>
      <c r="O37" s="165"/>
      <c r="P37" s="179">
        <f>(J36-J37)/J36</f>
        <v>9.7087378640776695E-4</v>
      </c>
      <c r="Q37" s="179">
        <f t="shared" ref="Q37:T37" si="1">(K36-K37)/K36</f>
        <v>4.569339730408956E-4</v>
      </c>
      <c r="R37" s="179">
        <f t="shared" si="1"/>
        <v>1.6295491580662683E-3</v>
      </c>
      <c r="S37" s="179">
        <f t="shared" si="1"/>
        <v>3.821656050955414E-3</v>
      </c>
      <c r="T37" s="179">
        <f t="shared" si="1"/>
        <v>1.8102824040550326E-3</v>
      </c>
      <c r="U37" s="179"/>
    </row>
    <row r="38" spans="3:21" ht="15">
      <c r="C38" s="131"/>
      <c r="D38" s="131"/>
      <c r="E38" s="131"/>
      <c r="F38" s="131"/>
      <c r="G38" s="131"/>
      <c r="H38" s="176"/>
      <c r="I38" s="177" t="s">
        <v>403</v>
      </c>
      <c r="J38" s="56">
        <v>768</v>
      </c>
      <c r="K38" s="56">
        <v>12534</v>
      </c>
      <c r="L38" s="213">
        <v>1248</v>
      </c>
      <c r="M38" s="56">
        <v>667</v>
      </c>
      <c r="N38" s="56">
        <v>1720</v>
      </c>
      <c r="O38" s="178"/>
    </row>
    <row r="39" spans="3:21" ht="15">
      <c r="C39" s="131"/>
      <c r="D39" s="131"/>
      <c r="E39" s="131"/>
      <c r="F39" s="131"/>
      <c r="G39" s="131"/>
      <c r="H39" s="176"/>
      <c r="I39" s="123" t="s">
        <v>406</v>
      </c>
      <c r="J39" s="56">
        <v>767</v>
      </c>
      <c r="K39" s="56">
        <v>12524</v>
      </c>
      <c r="L39" s="213">
        <v>1246</v>
      </c>
      <c r="M39" s="56">
        <v>667</v>
      </c>
      <c r="N39" s="56">
        <v>1720</v>
      </c>
      <c r="O39" s="165"/>
      <c r="P39" s="179">
        <f>(J38-J39)/J38</f>
        <v>1.3020833333333333E-3</v>
      </c>
      <c r="Q39" s="179">
        <f t="shared" ref="Q39:T39" si="2">(K38-K39)/K38</f>
        <v>7.9782990266475187E-4</v>
      </c>
      <c r="R39" s="179">
        <f t="shared" si="2"/>
        <v>1.6025641025641025E-3</v>
      </c>
      <c r="S39" s="179">
        <f t="shared" si="2"/>
        <v>0</v>
      </c>
      <c r="T39" s="179">
        <f t="shared" si="2"/>
        <v>0</v>
      </c>
      <c r="U39" s="179"/>
    </row>
    <row r="43" spans="3:21" ht="15">
      <c r="I43" s="141" t="s">
        <v>411</v>
      </c>
    </row>
    <row r="44" spans="3:21" ht="15">
      <c r="J44" s="170" t="s">
        <v>342</v>
      </c>
      <c r="K44" s="170" t="s">
        <v>365</v>
      </c>
      <c r="L44" s="170" t="s">
        <v>343</v>
      </c>
      <c r="M44" s="170" t="s">
        <v>344</v>
      </c>
      <c r="N44" s="170" t="s">
        <v>366</v>
      </c>
      <c r="O44" s="117"/>
    </row>
    <row r="45" spans="3:21" ht="15">
      <c r="I45" s="164" t="s">
        <v>370</v>
      </c>
      <c r="J45" s="163"/>
      <c r="K45" s="163"/>
      <c r="L45" s="163"/>
      <c r="M45" s="163"/>
      <c r="N45" s="163"/>
      <c r="O45" s="163"/>
    </row>
    <row r="46" spans="3:21" ht="15">
      <c r="I46" s="164" t="s">
        <v>374</v>
      </c>
      <c r="J46" s="163"/>
      <c r="K46" s="163"/>
      <c r="L46" s="163"/>
      <c r="M46" s="163"/>
      <c r="N46" s="163"/>
      <c r="O46" s="163"/>
    </row>
    <row r="47" spans="3:21" ht="15">
      <c r="I47" s="164" t="s">
        <v>375</v>
      </c>
      <c r="J47" s="163"/>
      <c r="K47" s="163"/>
      <c r="L47" s="163"/>
      <c r="M47" s="163"/>
      <c r="N47" s="163"/>
      <c r="O47" s="163"/>
    </row>
    <row r="50" spans="9:15" ht="15">
      <c r="I50" s="141" t="s">
        <v>411</v>
      </c>
    </row>
    <row r="51" spans="9:15" ht="15">
      <c r="J51" s="170" t="s">
        <v>342</v>
      </c>
      <c r="K51" s="170" t="s">
        <v>365</v>
      </c>
      <c r="L51" s="170" t="s">
        <v>343</v>
      </c>
      <c r="M51" s="170" t="s">
        <v>344</v>
      </c>
      <c r="N51" s="170" t="s">
        <v>366</v>
      </c>
      <c r="O51" s="117"/>
    </row>
    <row r="52" spans="9:15" ht="15">
      <c r="I52" s="164" t="s">
        <v>412</v>
      </c>
      <c r="J52" s="163">
        <f>P35</f>
        <v>2.2024006166721727E-3</v>
      </c>
      <c r="K52" s="163">
        <f t="shared" ref="K52:O52" si="3">Q35</f>
        <v>1.0506815605386126E-3</v>
      </c>
      <c r="L52" s="163">
        <f t="shared" si="3"/>
        <v>3.2727585909913012E-3</v>
      </c>
      <c r="M52" s="163">
        <f t="shared" si="3"/>
        <v>2.1450021450021449E-3</v>
      </c>
      <c r="N52" s="163">
        <f t="shared" si="3"/>
        <v>1.4345619068638269E-3</v>
      </c>
      <c r="O52" s="163">
        <f t="shared" si="3"/>
        <v>0</v>
      </c>
    </row>
    <row r="53" spans="9:15" ht="15">
      <c r="I53" s="164" t="s">
        <v>413</v>
      </c>
      <c r="J53" s="163">
        <f>P37</f>
        <v>9.7087378640776695E-4</v>
      </c>
      <c r="K53" s="163">
        <f t="shared" ref="K53:O53" si="4">Q37</f>
        <v>4.569339730408956E-4</v>
      </c>
      <c r="L53" s="163">
        <f t="shared" si="4"/>
        <v>1.6295491580662683E-3</v>
      </c>
      <c r="M53" s="163">
        <f t="shared" si="4"/>
        <v>3.821656050955414E-3</v>
      </c>
      <c r="N53" s="163">
        <f t="shared" si="4"/>
        <v>1.8102824040550326E-3</v>
      </c>
      <c r="O53" s="163">
        <f t="shared" si="4"/>
        <v>0</v>
      </c>
    </row>
    <row r="54" spans="9:15" ht="15">
      <c r="I54" s="164" t="s">
        <v>414</v>
      </c>
      <c r="J54" s="163">
        <f>P39</f>
        <v>1.3020833333333333E-3</v>
      </c>
      <c r="K54" s="163">
        <f t="shared" ref="K54:O54" si="5">Q39</f>
        <v>7.9782990266475187E-4</v>
      </c>
      <c r="L54" s="163">
        <f t="shared" si="5"/>
        <v>1.6025641025641025E-3</v>
      </c>
      <c r="M54" s="163">
        <f t="shared" si="5"/>
        <v>0</v>
      </c>
      <c r="N54" s="163">
        <f t="shared" si="5"/>
        <v>0</v>
      </c>
      <c r="O54" s="163">
        <f t="shared" si="5"/>
        <v>0</v>
      </c>
    </row>
  </sheetData>
  <mergeCells count="5">
    <mergeCell ref="A2:B2"/>
    <mergeCell ref="A9:B9"/>
    <mergeCell ref="A16:B16"/>
    <mergeCell ref="A17:B17"/>
    <mergeCell ref="A24:B2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495EC-989C-C34D-AA9F-88A473556CFD}">
  <dimension ref="A3:U88"/>
  <sheetViews>
    <sheetView topLeftCell="P8" zoomScale="111" zoomScaleNormal="80" workbookViewId="0">
      <selection activeCell="AB7" sqref="AB7"/>
    </sheetView>
  </sheetViews>
  <sheetFormatPr baseColWidth="10" defaultColWidth="11.5" defaultRowHeight="12" customHeight="1"/>
  <cols>
    <col min="1" max="1" width="98.33203125" style="131" customWidth="1"/>
    <col min="2" max="2" width="7.6640625" style="131" customWidth="1"/>
    <col min="3" max="7" width="7.6640625" style="142" customWidth="1"/>
    <col min="8" max="8" width="11.5" style="131"/>
    <col min="9" max="9" width="28" style="131" bestFit="1" customWidth="1"/>
    <col min="10" max="21" width="9.6640625" style="131" customWidth="1"/>
    <col min="22" max="16384" width="11.5" style="131"/>
  </cols>
  <sheetData>
    <row r="3" spans="1:20" ht="25.5" customHeight="1">
      <c r="A3" s="267" t="s">
        <v>396</v>
      </c>
      <c r="B3" s="277"/>
      <c r="T3" s="143" t="s">
        <v>367</v>
      </c>
    </row>
    <row r="4" spans="1:20" ht="16" customHeight="1">
      <c r="A4" s="133"/>
    </row>
    <row r="5" spans="1:20" ht="16" customHeight="1">
      <c r="A5" s="144"/>
      <c r="B5" s="117" t="s">
        <v>342</v>
      </c>
      <c r="C5" s="117" t="s">
        <v>365</v>
      </c>
      <c r="D5" s="117" t="s">
        <v>343</v>
      </c>
      <c r="E5" s="117" t="s">
        <v>344</v>
      </c>
      <c r="F5" s="117" t="s">
        <v>366</v>
      </c>
      <c r="G5" s="117"/>
    </row>
    <row r="6" spans="1:20" ht="16" customHeight="1">
      <c r="A6" s="145" t="s">
        <v>368</v>
      </c>
      <c r="B6" s="56">
        <v>7331</v>
      </c>
      <c r="C6" s="56">
        <v>31889</v>
      </c>
      <c r="D6" s="213">
        <v>8112</v>
      </c>
      <c r="E6" s="56">
        <v>3715</v>
      </c>
      <c r="F6" s="56">
        <v>14704</v>
      </c>
      <c r="G6" s="146"/>
    </row>
    <row r="7" spans="1:20" ht="16" customHeight="1">
      <c r="A7" s="147" t="s">
        <v>194</v>
      </c>
      <c r="B7" s="56">
        <v>728</v>
      </c>
      <c r="C7" s="56">
        <v>3468</v>
      </c>
      <c r="D7" s="213">
        <v>1115</v>
      </c>
      <c r="E7" s="56">
        <v>556</v>
      </c>
      <c r="F7" s="56">
        <v>1880</v>
      </c>
      <c r="G7" s="146"/>
    </row>
    <row r="8" spans="1:20" ht="16" customHeight="1">
      <c r="A8" s="145" t="s">
        <v>190</v>
      </c>
      <c r="B8" s="56">
        <v>694</v>
      </c>
      <c r="C8" s="56">
        <v>11924</v>
      </c>
      <c r="D8" s="208">
        <v>884</v>
      </c>
      <c r="E8" s="56">
        <v>564</v>
      </c>
      <c r="F8" s="56">
        <v>1499</v>
      </c>
      <c r="G8" s="146"/>
    </row>
    <row r="9" spans="1:20" ht="16" customHeight="1">
      <c r="A9" s="133"/>
    </row>
    <row r="10" spans="1:20" ht="16" customHeight="1">
      <c r="A10" s="133"/>
    </row>
    <row r="11" spans="1:20" ht="16" customHeight="1">
      <c r="A11" s="133"/>
    </row>
    <row r="12" spans="1:20" ht="12" customHeight="1">
      <c r="A12" s="267" t="s">
        <v>389</v>
      </c>
      <c r="B12" s="277"/>
    </row>
    <row r="13" spans="1:20" ht="12" customHeight="1">
      <c r="A13" s="133"/>
    </row>
    <row r="14" spans="1:20" ht="14" customHeight="1">
      <c r="A14" s="148"/>
      <c r="B14" s="117" t="s">
        <v>342</v>
      </c>
      <c r="C14" s="117" t="s">
        <v>365</v>
      </c>
      <c r="D14" s="117" t="s">
        <v>343</v>
      </c>
      <c r="E14" s="117" t="s">
        <v>344</v>
      </c>
      <c r="F14" s="117" t="s">
        <v>366</v>
      </c>
      <c r="G14" s="117"/>
    </row>
    <row r="15" spans="1:20" ht="14" customHeight="1">
      <c r="A15" s="149" t="s">
        <v>188</v>
      </c>
      <c r="B15" s="56">
        <v>9081</v>
      </c>
      <c r="C15" s="56">
        <v>36167</v>
      </c>
      <c r="D15" s="213">
        <v>11611</v>
      </c>
      <c r="E15" s="56">
        <v>4662</v>
      </c>
      <c r="F15" s="56">
        <v>18124</v>
      </c>
      <c r="G15" s="153"/>
    </row>
    <row r="16" spans="1:20" ht="13.5" customHeight="1">
      <c r="A16" s="154" t="s">
        <v>194</v>
      </c>
      <c r="B16" s="56">
        <v>1030</v>
      </c>
      <c r="C16" s="56">
        <v>4377</v>
      </c>
      <c r="D16" s="213">
        <v>1841</v>
      </c>
      <c r="E16" s="56">
        <v>785</v>
      </c>
      <c r="F16" s="56">
        <v>2762</v>
      </c>
      <c r="G16" s="153"/>
    </row>
    <row r="17" spans="1:7" ht="14" customHeight="1">
      <c r="A17" s="149" t="s">
        <v>190</v>
      </c>
      <c r="B17" s="56">
        <v>768</v>
      </c>
      <c r="C17" s="56">
        <v>12534</v>
      </c>
      <c r="D17" s="213">
        <v>1248</v>
      </c>
      <c r="E17" s="56">
        <v>667</v>
      </c>
      <c r="F17" s="56">
        <v>1720</v>
      </c>
      <c r="G17" s="153"/>
    </row>
    <row r="18" spans="1:7" ht="12" customHeight="1">
      <c r="B18" s="157"/>
      <c r="C18" s="157"/>
      <c r="D18" s="157"/>
      <c r="E18" s="155"/>
      <c r="F18" s="150"/>
      <c r="G18" s="156"/>
    </row>
    <row r="19" spans="1:7" ht="14" customHeight="1">
      <c r="A19" s="262"/>
      <c r="B19" s="279"/>
      <c r="C19" s="157"/>
      <c r="D19" s="157"/>
      <c r="E19" s="155"/>
      <c r="F19" s="150"/>
      <c r="G19" s="156"/>
    </row>
    <row r="21" spans="1:7" ht="16" customHeight="1">
      <c r="A21" s="267" t="s">
        <v>388</v>
      </c>
      <c r="B21" s="277"/>
    </row>
    <row r="23" spans="1:7" ht="14" customHeight="1">
      <c r="A23" s="148"/>
      <c r="B23" s="117" t="s">
        <v>342</v>
      </c>
      <c r="C23" s="117" t="s">
        <v>365</v>
      </c>
      <c r="D23" s="117" t="s">
        <v>343</v>
      </c>
      <c r="E23" s="117" t="s">
        <v>344</v>
      </c>
      <c r="F23" s="117" t="s">
        <v>366</v>
      </c>
      <c r="G23" s="117"/>
    </row>
    <row r="24" spans="1:7" ht="14" customHeight="1">
      <c r="A24" s="149" t="s">
        <v>378</v>
      </c>
      <c r="B24" s="56">
        <v>8949</v>
      </c>
      <c r="C24" s="56">
        <v>35993</v>
      </c>
      <c r="D24" s="213">
        <v>10667</v>
      </c>
      <c r="E24" s="56">
        <v>4559</v>
      </c>
      <c r="F24" s="56">
        <v>17960</v>
      </c>
      <c r="G24" s="153"/>
    </row>
    <row r="25" spans="1:7" ht="13.5" customHeight="1">
      <c r="A25" s="154" t="s">
        <v>397</v>
      </c>
      <c r="B25" s="56">
        <v>1008</v>
      </c>
      <c r="C25" s="56">
        <v>4340</v>
      </c>
      <c r="D25" s="213">
        <v>1576</v>
      </c>
      <c r="E25" s="56">
        <v>738</v>
      </c>
      <c r="F25" s="56">
        <v>2727</v>
      </c>
      <c r="G25" s="153"/>
    </row>
    <row r="26" spans="1:7" ht="13.5" customHeight="1">
      <c r="A26" s="154" t="s">
        <v>380</v>
      </c>
      <c r="B26" s="56">
        <v>764</v>
      </c>
      <c r="C26" s="56">
        <v>12522</v>
      </c>
      <c r="D26" s="213">
        <v>1179</v>
      </c>
      <c r="E26" s="56">
        <v>661</v>
      </c>
      <c r="F26" s="56">
        <v>1715</v>
      </c>
      <c r="G26" s="153"/>
    </row>
    <row r="28" spans="1:7" ht="14" customHeight="1">
      <c r="A28" s="262"/>
      <c r="B28" s="277"/>
    </row>
    <row r="30" spans="1:7" ht="16" customHeight="1">
      <c r="A30" s="267" t="s">
        <v>390</v>
      </c>
      <c r="B30" s="277"/>
    </row>
    <row r="32" spans="1:7" ht="14" customHeight="1">
      <c r="A32" s="148"/>
      <c r="B32" s="117" t="s">
        <v>342</v>
      </c>
      <c r="C32" s="117" t="s">
        <v>365</v>
      </c>
      <c r="D32" s="117" t="s">
        <v>343</v>
      </c>
      <c r="E32" s="117" t="s">
        <v>344</v>
      </c>
      <c r="F32" s="117" t="s">
        <v>366</v>
      </c>
      <c r="G32" s="117"/>
    </row>
    <row r="33" spans="1:21" ht="14" customHeight="1">
      <c r="A33" s="149" t="s">
        <v>381</v>
      </c>
      <c r="B33" s="56">
        <v>9057</v>
      </c>
      <c r="C33" s="56">
        <v>36127</v>
      </c>
      <c r="D33" s="213">
        <v>11303</v>
      </c>
      <c r="E33" s="56">
        <v>4630</v>
      </c>
      <c r="F33" s="56">
        <v>18105</v>
      </c>
      <c r="G33" s="153"/>
    </row>
    <row r="34" spans="1:21" ht="13.5" customHeight="1">
      <c r="A34" s="154" t="s">
        <v>398</v>
      </c>
      <c r="B34" s="56">
        <v>1024</v>
      </c>
      <c r="C34" s="56">
        <v>4368</v>
      </c>
      <c r="D34" s="213">
        <v>1748</v>
      </c>
      <c r="E34" s="56">
        <v>772</v>
      </c>
      <c r="F34" s="56">
        <v>2761</v>
      </c>
      <c r="G34" s="153"/>
    </row>
    <row r="35" spans="1:21" ht="13.5" customHeight="1">
      <c r="A35" s="154" t="s">
        <v>399</v>
      </c>
      <c r="B35" s="56">
        <v>768</v>
      </c>
      <c r="C35" s="56">
        <v>12532</v>
      </c>
      <c r="D35" s="213">
        <v>1238</v>
      </c>
      <c r="E35" s="56">
        <v>667</v>
      </c>
      <c r="F35" s="56">
        <v>1720</v>
      </c>
      <c r="G35" s="153"/>
    </row>
    <row r="37" spans="1:21" ht="12" customHeight="1">
      <c r="J37" s="170" t="s">
        <v>342</v>
      </c>
      <c r="K37" s="170" t="s">
        <v>365</v>
      </c>
      <c r="L37" s="170" t="s">
        <v>343</v>
      </c>
      <c r="M37" s="170" t="s">
        <v>344</v>
      </c>
      <c r="N37" s="170" t="s">
        <v>366</v>
      </c>
      <c r="O37" s="117"/>
      <c r="P37" s="170" t="s">
        <v>342</v>
      </c>
      <c r="Q37" s="170" t="s">
        <v>365</v>
      </c>
      <c r="R37" s="170" t="s">
        <v>343</v>
      </c>
      <c r="S37" s="170" t="s">
        <v>344</v>
      </c>
      <c r="T37" s="170" t="s">
        <v>366</v>
      </c>
      <c r="U37" s="117"/>
    </row>
    <row r="38" spans="1:21" s="142" customFormat="1" ht="12" customHeight="1">
      <c r="A38" s="144"/>
      <c r="H38" s="131"/>
      <c r="I38" s="145" t="s">
        <v>369</v>
      </c>
      <c r="J38" s="56">
        <v>7331</v>
      </c>
      <c r="K38" s="56">
        <v>31889</v>
      </c>
      <c r="L38" s="213">
        <v>8112</v>
      </c>
      <c r="M38" s="56">
        <v>3715</v>
      </c>
      <c r="N38" s="56">
        <v>14704</v>
      </c>
      <c r="O38" s="146"/>
      <c r="P38" s="248">
        <f>J38/J$41</f>
        <v>0.80728994604118487</v>
      </c>
      <c r="Q38" s="248">
        <f t="shared" ref="Q38:U41" si="0">K38/K$41</f>
        <v>0.88171537589515303</v>
      </c>
      <c r="R38" s="248">
        <f t="shared" si="0"/>
        <v>0.71768557020260104</v>
      </c>
      <c r="S38" s="248">
        <f t="shared" si="0"/>
        <v>0.79686829686829685</v>
      </c>
      <c r="T38" s="248">
        <f t="shared" si="0"/>
        <v>0.81215133940900308</v>
      </c>
      <c r="U38" s="159" t="e">
        <f t="shared" si="0"/>
        <v>#DIV/0!</v>
      </c>
    </row>
    <row r="39" spans="1:21" s="142" customFormat="1" ht="12" customHeight="1">
      <c r="A39" s="145" t="s">
        <v>369</v>
      </c>
      <c r="H39" s="141" t="s">
        <v>370</v>
      </c>
      <c r="I39" s="141" t="s">
        <v>371</v>
      </c>
      <c r="J39" s="56">
        <v>8949</v>
      </c>
      <c r="K39" s="56">
        <v>35993</v>
      </c>
      <c r="L39" s="213">
        <v>11611</v>
      </c>
      <c r="M39" s="56">
        <v>4559</v>
      </c>
      <c r="N39" s="56">
        <v>18124</v>
      </c>
      <c r="O39" s="153"/>
      <c r="P39" s="248">
        <f t="shared" ref="P39:P41" si="1">J39/J$41</f>
        <v>0.98546415592996361</v>
      </c>
      <c r="Q39" s="248">
        <f t="shared" si="0"/>
        <v>0.99518898443332315</v>
      </c>
      <c r="R39" s="248">
        <f t="shared" si="0"/>
        <v>1.0272494028134123</v>
      </c>
      <c r="S39" s="248">
        <f t="shared" si="0"/>
        <v>0.97790647790647789</v>
      </c>
      <c r="T39" s="248">
        <f t="shared" si="0"/>
        <v>1.0010494338580502</v>
      </c>
      <c r="U39" s="159" t="e">
        <f t="shared" si="0"/>
        <v>#DIV/0!</v>
      </c>
    </row>
    <row r="40" spans="1:21" s="142" customFormat="1" ht="12" customHeight="1">
      <c r="A40" s="139" t="s">
        <v>371</v>
      </c>
      <c r="H40" s="131"/>
      <c r="I40" s="141" t="s">
        <v>372</v>
      </c>
      <c r="J40" s="56">
        <v>9057</v>
      </c>
      <c r="K40" s="56">
        <v>36127</v>
      </c>
      <c r="L40" s="213">
        <v>10667</v>
      </c>
      <c r="M40" s="56">
        <v>4630</v>
      </c>
      <c r="N40" s="56">
        <v>17960</v>
      </c>
      <c r="O40" s="153"/>
      <c r="P40" s="248">
        <f t="shared" si="1"/>
        <v>0.99735711925999337</v>
      </c>
      <c r="Q40" s="248">
        <f t="shared" si="0"/>
        <v>0.99889401940995937</v>
      </c>
      <c r="R40" s="248">
        <f t="shared" si="0"/>
        <v>0.94373175263204456</v>
      </c>
      <c r="S40" s="248">
        <f t="shared" si="0"/>
        <v>0.9931359931359931</v>
      </c>
      <c r="T40" s="248">
        <f t="shared" si="0"/>
        <v>0.99199116266224796</v>
      </c>
      <c r="U40" s="159" t="e">
        <f t="shared" si="0"/>
        <v>#DIV/0!</v>
      </c>
    </row>
    <row r="41" spans="1:21" ht="12" customHeight="1">
      <c r="A41" s="139" t="s">
        <v>372</v>
      </c>
      <c r="C41" s="131"/>
      <c r="D41" s="131"/>
      <c r="E41" s="131"/>
      <c r="F41" s="131"/>
      <c r="G41" s="131"/>
      <c r="I41" s="141" t="s">
        <v>373</v>
      </c>
      <c r="J41" s="56">
        <v>9081</v>
      </c>
      <c r="K41" s="56">
        <v>36167</v>
      </c>
      <c r="L41" s="213">
        <v>11303</v>
      </c>
      <c r="M41" s="56">
        <v>4662</v>
      </c>
      <c r="N41" s="56">
        <v>18105</v>
      </c>
      <c r="O41" s="153"/>
      <c r="P41" s="248">
        <f t="shared" si="1"/>
        <v>1</v>
      </c>
      <c r="Q41" s="248">
        <f t="shared" si="0"/>
        <v>1</v>
      </c>
      <c r="R41" s="248">
        <f t="shared" si="0"/>
        <v>1</v>
      </c>
      <c r="S41" s="248">
        <f t="shared" si="0"/>
        <v>1</v>
      </c>
      <c r="T41" s="248">
        <f t="shared" si="0"/>
        <v>1</v>
      </c>
      <c r="U41" s="159" t="e">
        <f t="shared" si="0"/>
        <v>#DIV/0!</v>
      </c>
    </row>
    <row r="42" spans="1:21" ht="12" customHeight="1">
      <c r="A42" s="139" t="s">
        <v>373</v>
      </c>
      <c r="C42" s="131"/>
      <c r="D42" s="131"/>
      <c r="E42" s="131"/>
      <c r="F42" s="131"/>
      <c r="G42" s="131"/>
      <c r="P42" s="249"/>
      <c r="Q42" s="249"/>
      <c r="R42" s="249"/>
      <c r="S42" s="249"/>
      <c r="T42" s="249"/>
    </row>
    <row r="43" spans="1:21" ht="12" customHeight="1">
      <c r="J43" s="117"/>
      <c r="K43" s="117"/>
      <c r="L43" s="117"/>
      <c r="M43" s="117"/>
      <c r="N43" s="117"/>
      <c r="O43" s="117"/>
      <c r="P43" s="250" t="s">
        <v>342</v>
      </c>
      <c r="Q43" s="250" t="s">
        <v>365</v>
      </c>
      <c r="R43" s="250" t="s">
        <v>343</v>
      </c>
      <c r="S43" s="250" t="s">
        <v>344</v>
      </c>
      <c r="T43" s="250" t="s">
        <v>366</v>
      </c>
      <c r="U43" s="117"/>
    </row>
    <row r="44" spans="1:21" ht="12" customHeight="1">
      <c r="I44" s="145" t="s">
        <v>369</v>
      </c>
      <c r="J44" s="56">
        <v>728</v>
      </c>
      <c r="K44" s="56">
        <v>3468</v>
      </c>
      <c r="L44" s="213">
        <v>1115</v>
      </c>
      <c r="M44" s="56">
        <v>556</v>
      </c>
      <c r="N44" s="56">
        <v>1880</v>
      </c>
      <c r="O44" s="146"/>
      <c r="P44" s="248">
        <f>J44/J$47</f>
        <v>0.94791666666666663</v>
      </c>
      <c r="Q44" s="248">
        <f t="shared" ref="Q44:U47" si="2">K44/K$47</f>
        <v>0.27668741024413596</v>
      </c>
      <c r="R44" s="248">
        <f t="shared" si="2"/>
        <v>0.63787185354691078</v>
      </c>
      <c r="S44" s="248">
        <f t="shared" si="2"/>
        <v>0.83358320839580213</v>
      </c>
      <c r="T44" s="248">
        <f t="shared" si="2"/>
        <v>0.6809127127852227</v>
      </c>
      <c r="U44" s="159" t="e">
        <f t="shared" si="2"/>
        <v>#DIV/0!</v>
      </c>
    </row>
    <row r="45" spans="1:21" ht="12" customHeight="1">
      <c r="H45" s="141" t="s">
        <v>374</v>
      </c>
      <c r="I45" s="141" t="s">
        <v>371</v>
      </c>
      <c r="J45" s="56">
        <v>1008</v>
      </c>
      <c r="K45" s="56">
        <v>4340</v>
      </c>
      <c r="L45" s="213">
        <v>1841</v>
      </c>
      <c r="M45" s="56">
        <v>738</v>
      </c>
      <c r="N45" s="56">
        <v>2762</v>
      </c>
      <c r="O45" s="153"/>
      <c r="P45" s="248">
        <f t="shared" ref="P45:P47" si="3">J45/J$47</f>
        <v>1.3125</v>
      </c>
      <c r="Q45" s="248">
        <f t="shared" si="2"/>
        <v>0.34625817775650231</v>
      </c>
      <c r="R45" s="248">
        <f t="shared" si="2"/>
        <v>1.0532036613272311</v>
      </c>
      <c r="S45" s="248">
        <f t="shared" si="2"/>
        <v>1.1064467766116941</v>
      </c>
      <c r="T45" s="248">
        <f t="shared" si="2"/>
        <v>1.0003621876131836</v>
      </c>
      <c r="U45" s="159" t="e">
        <f t="shared" si="2"/>
        <v>#DIV/0!</v>
      </c>
    </row>
    <row r="46" spans="1:21" ht="12" customHeight="1">
      <c r="I46" s="141" t="s">
        <v>372</v>
      </c>
      <c r="J46" s="56">
        <v>1024</v>
      </c>
      <c r="K46" s="56">
        <v>4368</v>
      </c>
      <c r="L46" s="213">
        <v>1576</v>
      </c>
      <c r="M46" s="56">
        <v>772</v>
      </c>
      <c r="N46" s="56">
        <v>2727</v>
      </c>
      <c r="O46" s="153"/>
      <c r="P46" s="248">
        <f t="shared" si="3"/>
        <v>1.3333333333333333</v>
      </c>
      <c r="Q46" s="248">
        <f t="shared" si="2"/>
        <v>0.34849210148396365</v>
      </c>
      <c r="R46" s="248">
        <f t="shared" si="2"/>
        <v>0.90160183066361554</v>
      </c>
      <c r="S46" s="248">
        <f t="shared" si="2"/>
        <v>1.1574212893553224</v>
      </c>
      <c r="T46" s="248">
        <f t="shared" si="2"/>
        <v>0.98768562115175662</v>
      </c>
      <c r="U46" s="159" t="e">
        <f t="shared" si="2"/>
        <v>#DIV/0!</v>
      </c>
    </row>
    <row r="47" spans="1:21" ht="12" customHeight="1">
      <c r="I47" s="141" t="s">
        <v>373</v>
      </c>
      <c r="J47" s="56">
        <v>768</v>
      </c>
      <c r="K47" s="56">
        <v>12534</v>
      </c>
      <c r="L47" s="213">
        <v>1748</v>
      </c>
      <c r="M47" s="56">
        <v>667</v>
      </c>
      <c r="N47" s="56">
        <v>2761</v>
      </c>
      <c r="O47" s="153"/>
      <c r="P47" s="248">
        <f t="shared" si="3"/>
        <v>1</v>
      </c>
      <c r="Q47" s="248">
        <f t="shared" si="2"/>
        <v>1</v>
      </c>
      <c r="R47" s="248">
        <f t="shared" si="2"/>
        <v>1</v>
      </c>
      <c r="S47" s="248">
        <f t="shared" si="2"/>
        <v>1</v>
      </c>
      <c r="T47" s="248">
        <f t="shared" si="2"/>
        <v>1</v>
      </c>
      <c r="U47" s="159" t="e">
        <f t="shared" si="2"/>
        <v>#DIV/0!</v>
      </c>
    </row>
    <row r="48" spans="1:21" ht="12" customHeight="1">
      <c r="P48" s="249"/>
      <c r="Q48" s="249"/>
      <c r="R48" s="249"/>
      <c r="S48" s="249"/>
      <c r="T48" s="249"/>
    </row>
    <row r="49" spans="7:21" ht="12" customHeight="1">
      <c r="J49" s="117"/>
      <c r="K49" s="117"/>
      <c r="L49" s="117"/>
      <c r="M49" s="117"/>
      <c r="N49" s="117"/>
      <c r="O49" s="117"/>
      <c r="P49" s="250" t="s">
        <v>342</v>
      </c>
      <c r="Q49" s="250" t="s">
        <v>365</v>
      </c>
      <c r="R49" s="250" t="s">
        <v>343</v>
      </c>
      <c r="S49" s="250" t="s">
        <v>344</v>
      </c>
      <c r="T49" s="250" t="s">
        <v>366</v>
      </c>
      <c r="U49" s="117"/>
    </row>
    <row r="50" spans="7:21" ht="12" customHeight="1">
      <c r="I50" s="145" t="s">
        <v>369</v>
      </c>
      <c r="J50" s="56">
        <v>694</v>
      </c>
      <c r="K50" s="56">
        <v>11924</v>
      </c>
      <c r="L50" s="208">
        <v>884</v>
      </c>
      <c r="M50" s="56">
        <v>564</v>
      </c>
      <c r="N50" s="56">
        <v>1499</v>
      </c>
      <c r="O50" s="146"/>
      <c r="P50" s="248">
        <f>J50/J$53</f>
        <v>0.90364583333333337</v>
      </c>
      <c r="Q50" s="248">
        <f t="shared" ref="Q50:U53" si="4">K50/K$53</f>
        <v>0.95133237593745013</v>
      </c>
      <c r="R50" s="248">
        <f t="shared" si="4"/>
        <v>0.71405492730210018</v>
      </c>
      <c r="S50" s="248">
        <f t="shared" si="4"/>
        <v>0.84557721139430286</v>
      </c>
      <c r="T50" s="248">
        <f t="shared" si="4"/>
        <v>0.87151162790697678</v>
      </c>
      <c r="U50" s="159" t="e">
        <f t="shared" si="4"/>
        <v>#DIV/0!</v>
      </c>
    </row>
    <row r="51" spans="7:21" ht="12" customHeight="1">
      <c r="H51" s="141" t="s">
        <v>375</v>
      </c>
      <c r="I51" s="141" t="s">
        <v>371</v>
      </c>
      <c r="J51" s="56">
        <v>764</v>
      </c>
      <c r="K51" s="56">
        <v>12522</v>
      </c>
      <c r="L51" s="213">
        <v>1248</v>
      </c>
      <c r="M51" s="56">
        <v>661</v>
      </c>
      <c r="N51" s="56">
        <v>1720</v>
      </c>
      <c r="O51" s="153"/>
      <c r="P51" s="248">
        <f t="shared" ref="P51:P53" si="5">J51/J$53</f>
        <v>0.99479166666666663</v>
      </c>
      <c r="Q51" s="248">
        <f t="shared" si="4"/>
        <v>0.99904260411680235</v>
      </c>
      <c r="R51" s="248">
        <f t="shared" si="4"/>
        <v>1.0080775444264944</v>
      </c>
      <c r="S51" s="248">
        <f t="shared" si="4"/>
        <v>0.99100449775112442</v>
      </c>
      <c r="T51" s="248">
        <f t="shared" si="4"/>
        <v>1</v>
      </c>
      <c r="U51" s="159" t="e">
        <f t="shared" si="4"/>
        <v>#DIV/0!</v>
      </c>
    </row>
    <row r="52" spans="7:21" ht="12" customHeight="1">
      <c r="I52" s="141" t="s">
        <v>372</v>
      </c>
      <c r="J52" s="56">
        <v>768</v>
      </c>
      <c r="K52" s="56">
        <v>12532</v>
      </c>
      <c r="L52" s="213">
        <v>1179</v>
      </c>
      <c r="M52" s="56">
        <v>667</v>
      </c>
      <c r="N52" s="56">
        <v>1715</v>
      </c>
      <c r="O52" s="153"/>
      <c r="P52" s="248">
        <f t="shared" si="5"/>
        <v>1</v>
      </c>
      <c r="Q52" s="248">
        <f t="shared" si="4"/>
        <v>0.99984043401946709</v>
      </c>
      <c r="R52" s="248">
        <f t="shared" si="4"/>
        <v>0.95234248788368336</v>
      </c>
      <c r="S52" s="248">
        <f t="shared" si="4"/>
        <v>1</v>
      </c>
      <c r="T52" s="248">
        <f t="shared" si="4"/>
        <v>0.99709302325581395</v>
      </c>
      <c r="U52" s="159" t="e">
        <f t="shared" si="4"/>
        <v>#DIV/0!</v>
      </c>
    </row>
    <row r="53" spans="7:21" ht="12" customHeight="1">
      <c r="I53" s="141" t="s">
        <v>373</v>
      </c>
      <c r="J53" s="56">
        <v>768</v>
      </c>
      <c r="K53" s="56">
        <v>12534</v>
      </c>
      <c r="L53" s="213">
        <v>1238</v>
      </c>
      <c r="M53" s="56">
        <v>667</v>
      </c>
      <c r="N53" s="56">
        <v>1720</v>
      </c>
      <c r="O53" s="153"/>
      <c r="P53" s="248">
        <f t="shared" si="5"/>
        <v>1</v>
      </c>
      <c r="Q53" s="248">
        <f t="shared" si="4"/>
        <v>1</v>
      </c>
      <c r="R53" s="248">
        <f t="shared" si="4"/>
        <v>1</v>
      </c>
      <c r="S53" s="248">
        <f t="shared" si="4"/>
        <v>1</v>
      </c>
      <c r="T53" s="248">
        <f t="shared" si="4"/>
        <v>1</v>
      </c>
      <c r="U53" s="159" t="e">
        <f t="shared" si="4"/>
        <v>#DIV/0!</v>
      </c>
    </row>
    <row r="54" spans="7:21" ht="12" customHeight="1">
      <c r="H54" s="141" t="s">
        <v>376</v>
      </c>
    </row>
    <row r="56" spans="7:21" ht="12" customHeight="1">
      <c r="J56" s="170" t="s">
        <v>342</v>
      </c>
      <c r="K56" s="170" t="s">
        <v>365</v>
      </c>
      <c r="L56" s="170" t="s">
        <v>343</v>
      </c>
      <c r="M56" s="170" t="s">
        <v>344</v>
      </c>
      <c r="N56" s="170" t="s">
        <v>366</v>
      </c>
      <c r="O56" s="117"/>
      <c r="P56" s="170" t="s">
        <v>342</v>
      </c>
      <c r="Q56" s="170" t="s">
        <v>365</v>
      </c>
      <c r="R56" s="170" t="s">
        <v>343</v>
      </c>
      <c r="S56" s="170" t="s">
        <v>344</v>
      </c>
      <c r="T56" s="170" t="s">
        <v>366</v>
      </c>
      <c r="U56" s="117"/>
    </row>
    <row r="57" spans="7:21" ht="12" customHeight="1">
      <c r="H57" s="278" t="s">
        <v>370</v>
      </c>
      <c r="I57" s="160" t="s">
        <v>369</v>
      </c>
      <c r="J57" s="161"/>
      <c r="K57" s="124"/>
      <c r="L57" s="124"/>
      <c r="M57" s="124"/>
      <c r="N57" s="124"/>
      <c r="O57" s="162"/>
      <c r="P57" s="163">
        <f>J57/J$41</f>
        <v>0</v>
      </c>
      <c r="Q57" s="163">
        <f t="shared" ref="Q57:U60" si="6">K57/K$41</f>
        <v>0</v>
      </c>
      <c r="R57" s="163">
        <f t="shared" si="6"/>
        <v>0</v>
      </c>
      <c r="S57" s="163">
        <f t="shared" si="6"/>
        <v>0</v>
      </c>
      <c r="T57" s="163">
        <f t="shared" si="6"/>
        <v>0</v>
      </c>
      <c r="U57" s="163" t="e">
        <f t="shared" si="6"/>
        <v>#DIV/0!</v>
      </c>
    </row>
    <row r="58" spans="7:21" ht="12" customHeight="1">
      <c r="G58" s="141"/>
      <c r="H58" s="278"/>
      <c r="I58" s="164" t="s">
        <v>371</v>
      </c>
      <c r="J58" s="165"/>
      <c r="K58" s="166"/>
      <c r="L58" s="165"/>
      <c r="M58" s="165"/>
      <c r="N58" s="165"/>
      <c r="O58" s="167"/>
      <c r="P58" s="163">
        <f t="shared" ref="P58:P60" si="7">J58/J$41</f>
        <v>0</v>
      </c>
      <c r="Q58" s="163">
        <f t="shared" si="6"/>
        <v>0</v>
      </c>
      <c r="R58" s="163">
        <f t="shared" si="6"/>
        <v>0</v>
      </c>
      <c r="S58" s="163">
        <f t="shared" si="6"/>
        <v>0</v>
      </c>
      <c r="T58" s="163">
        <f t="shared" si="6"/>
        <v>0</v>
      </c>
      <c r="U58" s="163" t="e">
        <f t="shared" si="6"/>
        <v>#DIV/0!</v>
      </c>
    </row>
    <row r="59" spans="7:21" ht="12" customHeight="1">
      <c r="H59" s="278"/>
      <c r="I59" s="164" t="s">
        <v>372</v>
      </c>
      <c r="J59" s="165"/>
      <c r="K59" s="166"/>
      <c r="L59" s="165"/>
      <c r="M59" s="165"/>
      <c r="N59" s="165"/>
      <c r="O59" s="167"/>
      <c r="P59" s="163">
        <f t="shared" si="7"/>
        <v>0</v>
      </c>
      <c r="Q59" s="163">
        <f t="shared" si="6"/>
        <v>0</v>
      </c>
      <c r="R59" s="163">
        <f t="shared" si="6"/>
        <v>0</v>
      </c>
      <c r="S59" s="163">
        <f t="shared" si="6"/>
        <v>0</v>
      </c>
      <c r="T59" s="163">
        <f t="shared" si="6"/>
        <v>0</v>
      </c>
      <c r="U59" s="163" t="e">
        <f t="shared" si="6"/>
        <v>#DIV/0!</v>
      </c>
    </row>
    <row r="60" spans="7:21" ht="12" customHeight="1">
      <c r="G60" s="131"/>
      <c r="H60" s="278"/>
      <c r="I60" s="164" t="s">
        <v>373</v>
      </c>
      <c r="J60" s="124"/>
      <c r="K60" s="166"/>
      <c r="L60" s="165"/>
      <c r="M60" s="165"/>
      <c r="N60" s="165"/>
      <c r="O60" s="167"/>
      <c r="P60" s="163">
        <f t="shared" si="7"/>
        <v>0</v>
      </c>
      <c r="Q60" s="163">
        <f t="shared" si="6"/>
        <v>0</v>
      </c>
      <c r="R60" s="163">
        <f t="shared" si="6"/>
        <v>0</v>
      </c>
      <c r="S60" s="163">
        <f t="shared" si="6"/>
        <v>0</v>
      </c>
      <c r="T60" s="163">
        <f t="shared" si="6"/>
        <v>0</v>
      </c>
      <c r="U60" s="163" t="e">
        <f t="shared" si="6"/>
        <v>#DIV/0!</v>
      </c>
    </row>
    <row r="61" spans="7:21" ht="12" customHeight="1">
      <c r="G61" s="131"/>
      <c r="I61" s="168"/>
      <c r="J61" s="169"/>
      <c r="K61" s="169"/>
      <c r="L61" s="169"/>
      <c r="M61" s="169"/>
      <c r="N61" s="169"/>
      <c r="O61" s="169"/>
      <c r="P61" s="168"/>
      <c r="Q61" s="168"/>
      <c r="R61" s="168"/>
      <c r="S61" s="168"/>
      <c r="T61" s="168"/>
      <c r="U61" s="168"/>
    </row>
    <row r="62" spans="7:21" ht="12" customHeight="1">
      <c r="H62" s="278" t="s">
        <v>374</v>
      </c>
      <c r="I62" s="160" t="s">
        <v>369</v>
      </c>
      <c r="J62" s="161"/>
      <c r="K62" s="124"/>
      <c r="L62" s="124"/>
      <c r="M62" s="124"/>
      <c r="N62" s="124"/>
      <c r="O62" s="162"/>
      <c r="P62" s="163">
        <f>J62/J$47</f>
        <v>0</v>
      </c>
      <c r="Q62" s="163">
        <f t="shared" ref="Q62:U65" si="8">K62/K$47</f>
        <v>0</v>
      </c>
      <c r="R62" s="163">
        <f t="shared" si="8"/>
        <v>0</v>
      </c>
      <c r="S62" s="163">
        <f t="shared" si="8"/>
        <v>0</v>
      </c>
      <c r="T62" s="163">
        <f t="shared" si="8"/>
        <v>0</v>
      </c>
      <c r="U62" s="163" t="e">
        <f t="shared" si="8"/>
        <v>#DIV/0!</v>
      </c>
    </row>
    <row r="63" spans="7:21" ht="12" customHeight="1">
      <c r="G63" s="141"/>
      <c r="H63" s="278"/>
      <c r="I63" s="164" t="s">
        <v>371</v>
      </c>
      <c r="J63" s="165"/>
      <c r="K63" s="166"/>
      <c r="L63" s="165"/>
      <c r="M63" s="165"/>
      <c r="N63" s="165"/>
      <c r="O63" s="167"/>
      <c r="P63" s="163">
        <f t="shared" ref="P63:P65" si="9">J63/J$47</f>
        <v>0</v>
      </c>
      <c r="Q63" s="163">
        <f t="shared" si="8"/>
        <v>0</v>
      </c>
      <c r="R63" s="163">
        <f t="shared" si="8"/>
        <v>0</v>
      </c>
      <c r="S63" s="163">
        <f t="shared" si="8"/>
        <v>0</v>
      </c>
      <c r="T63" s="163">
        <f t="shared" si="8"/>
        <v>0</v>
      </c>
      <c r="U63" s="163" t="e">
        <f t="shared" si="8"/>
        <v>#DIV/0!</v>
      </c>
    </row>
    <row r="64" spans="7:21" ht="12" customHeight="1">
      <c r="H64" s="278"/>
      <c r="I64" s="164" t="s">
        <v>372</v>
      </c>
      <c r="J64" s="165"/>
      <c r="K64" s="166"/>
      <c r="L64" s="165"/>
      <c r="M64" s="165"/>
      <c r="N64" s="165"/>
      <c r="O64" s="167"/>
      <c r="P64" s="163">
        <f t="shared" si="9"/>
        <v>0</v>
      </c>
      <c r="Q64" s="163">
        <f t="shared" si="8"/>
        <v>0</v>
      </c>
      <c r="R64" s="163">
        <f t="shared" si="8"/>
        <v>0</v>
      </c>
      <c r="S64" s="163">
        <f t="shared" si="8"/>
        <v>0</v>
      </c>
      <c r="T64" s="163">
        <f t="shared" si="8"/>
        <v>0</v>
      </c>
      <c r="U64" s="163" t="e">
        <f t="shared" si="8"/>
        <v>#DIV/0!</v>
      </c>
    </row>
    <row r="65" spans="7:21" ht="12" customHeight="1">
      <c r="H65" s="278"/>
      <c r="I65" s="164" t="s">
        <v>373</v>
      </c>
      <c r="J65" s="124"/>
      <c r="K65" s="166"/>
      <c r="L65" s="165"/>
      <c r="M65" s="165"/>
      <c r="N65" s="165"/>
      <c r="O65" s="167"/>
      <c r="P65" s="163">
        <f t="shared" si="9"/>
        <v>0</v>
      </c>
      <c r="Q65" s="163">
        <f t="shared" si="8"/>
        <v>0</v>
      </c>
      <c r="R65" s="163">
        <f t="shared" si="8"/>
        <v>0</v>
      </c>
      <c r="S65" s="163">
        <f t="shared" si="8"/>
        <v>0</v>
      </c>
      <c r="T65" s="163">
        <f t="shared" si="8"/>
        <v>0</v>
      </c>
      <c r="U65" s="163" t="e">
        <f t="shared" si="8"/>
        <v>#DIV/0!</v>
      </c>
    </row>
    <row r="66" spans="7:21" ht="12" customHeight="1">
      <c r="I66" s="168"/>
      <c r="J66" s="169"/>
      <c r="K66" s="169"/>
      <c r="L66" s="169"/>
      <c r="M66" s="169"/>
      <c r="N66" s="169"/>
      <c r="O66" s="169"/>
      <c r="P66" s="168"/>
      <c r="Q66" s="168"/>
      <c r="R66" s="168"/>
      <c r="S66" s="168"/>
      <c r="T66" s="168"/>
      <c r="U66" s="168"/>
    </row>
    <row r="67" spans="7:21" ht="12" customHeight="1">
      <c r="H67" s="278" t="s">
        <v>375</v>
      </c>
      <c r="I67" s="160" t="s">
        <v>369</v>
      </c>
      <c r="J67" s="161"/>
      <c r="K67" s="124"/>
      <c r="L67" s="124"/>
      <c r="M67" s="124"/>
      <c r="N67" s="124"/>
      <c r="O67" s="162"/>
      <c r="P67" s="163">
        <f>J67/J$53</f>
        <v>0</v>
      </c>
      <c r="Q67" s="163">
        <f t="shared" ref="Q67:U70" si="10">K67/K$53</f>
        <v>0</v>
      </c>
      <c r="R67" s="163">
        <f t="shared" si="10"/>
        <v>0</v>
      </c>
      <c r="S67" s="163">
        <f t="shared" si="10"/>
        <v>0</v>
      </c>
      <c r="T67" s="163">
        <f t="shared" si="10"/>
        <v>0</v>
      </c>
      <c r="U67" s="163" t="e">
        <f t="shared" si="10"/>
        <v>#DIV/0!</v>
      </c>
    </row>
    <row r="68" spans="7:21" ht="12" customHeight="1">
      <c r="G68" s="141"/>
      <c r="H68" s="278"/>
      <c r="I68" s="164" t="s">
        <v>371</v>
      </c>
      <c r="J68" s="165"/>
      <c r="K68" s="166"/>
      <c r="L68" s="165"/>
      <c r="M68" s="165"/>
      <c r="N68" s="165"/>
      <c r="O68" s="167"/>
      <c r="P68" s="163">
        <f t="shared" ref="P68:P70" si="11">J68/J$53</f>
        <v>0</v>
      </c>
      <c r="Q68" s="163">
        <f t="shared" si="10"/>
        <v>0</v>
      </c>
      <c r="R68" s="163">
        <f t="shared" si="10"/>
        <v>0</v>
      </c>
      <c r="S68" s="163">
        <f t="shared" si="10"/>
        <v>0</v>
      </c>
      <c r="T68" s="163">
        <f t="shared" si="10"/>
        <v>0</v>
      </c>
      <c r="U68" s="163" t="e">
        <f t="shared" si="10"/>
        <v>#DIV/0!</v>
      </c>
    </row>
    <row r="69" spans="7:21" ht="12" customHeight="1">
      <c r="H69" s="278"/>
      <c r="I69" s="164" t="s">
        <v>372</v>
      </c>
      <c r="J69" s="165"/>
      <c r="K69" s="166"/>
      <c r="L69" s="165"/>
      <c r="M69" s="165"/>
      <c r="N69" s="165"/>
      <c r="O69" s="167"/>
      <c r="P69" s="163">
        <f t="shared" si="11"/>
        <v>0</v>
      </c>
      <c r="Q69" s="163">
        <f t="shared" si="10"/>
        <v>0</v>
      </c>
      <c r="R69" s="163">
        <f t="shared" si="10"/>
        <v>0</v>
      </c>
      <c r="S69" s="163">
        <f t="shared" si="10"/>
        <v>0</v>
      </c>
      <c r="T69" s="163">
        <f t="shared" si="10"/>
        <v>0</v>
      </c>
      <c r="U69" s="163" t="e">
        <f t="shared" si="10"/>
        <v>#DIV/0!</v>
      </c>
    </row>
    <row r="70" spans="7:21" ht="12" customHeight="1">
      <c r="H70" s="278"/>
      <c r="I70" s="164" t="s">
        <v>373</v>
      </c>
      <c r="J70" s="124"/>
      <c r="K70" s="166"/>
      <c r="L70" s="165"/>
      <c r="M70" s="165"/>
      <c r="N70" s="165"/>
      <c r="O70" s="167"/>
      <c r="P70" s="163">
        <f t="shared" si="11"/>
        <v>0</v>
      </c>
      <c r="Q70" s="163">
        <f t="shared" si="10"/>
        <v>0</v>
      </c>
      <c r="R70" s="163">
        <f t="shared" si="10"/>
        <v>0</v>
      </c>
      <c r="S70" s="163">
        <f t="shared" si="10"/>
        <v>0</v>
      </c>
      <c r="T70" s="163">
        <f t="shared" si="10"/>
        <v>0</v>
      </c>
      <c r="U70" s="163" t="e">
        <f t="shared" si="10"/>
        <v>#DIV/0!</v>
      </c>
    </row>
    <row r="72" spans="7:21" ht="12" customHeight="1">
      <c r="H72" s="141" t="s">
        <v>377</v>
      </c>
    </row>
    <row r="74" spans="7:21" ht="12" customHeight="1">
      <c r="J74" s="170" t="s">
        <v>342</v>
      </c>
      <c r="K74" s="170" t="s">
        <v>365</v>
      </c>
      <c r="L74" s="170" t="s">
        <v>343</v>
      </c>
      <c r="M74" s="170" t="s">
        <v>344</v>
      </c>
      <c r="N74" s="170" t="s">
        <v>366</v>
      </c>
      <c r="O74" s="117"/>
    </row>
    <row r="75" spans="7:21" ht="12" customHeight="1">
      <c r="H75" s="278" t="s">
        <v>370</v>
      </c>
      <c r="I75" s="160" t="s">
        <v>369</v>
      </c>
      <c r="J75" s="163"/>
      <c r="K75" s="163"/>
      <c r="L75" s="163"/>
      <c r="M75" s="163"/>
      <c r="N75" s="163"/>
      <c r="O75" s="163"/>
    </row>
    <row r="76" spans="7:21" ht="12" customHeight="1">
      <c r="H76" s="278"/>
      <c r="I76" s="164" t="s">
        <v>371</v>
      </c>
      <c r="J76" s="163"/>
      <c r="K76" s="163"/>
      <c r="L76" s="163"/>
      <c r="M76" s="163"/>
      <c r="N76" s="163"/>
      <c r="O76" s="163"/>
    </row>
    <row r="77" spans="7:21" ht="12" customHeight="1">
      <c r="H77" s="278"/>
      <c r="I77" s="164" t="s">
        <v>372</v>
      </c>
      <c r="J77" s="163"/>
      <c r="K77" s="163"/>
      <c r="L77" s="163"/>
      <c r="M77" s="163"/>
      <c r="N77" s="163"/>
      <c r="O77" s="163"/>
    </row>
    <row r="78" spans="7:21" ht="12" customHeight="1">
      <c r="H78" s="278"/>
      <c r="I78" s="164" t="s">
        <v>373</v>
      </c>
      <c r="J78" s="163"/>
      <c r="K78" s="163"/>
      <c r="L78" s="163"/>
      <c r="M78" s="163"/>
      <c r="N78" s="163"/>
      <c r="O78" s="163"/>
    </row>
    <row r="79" spans="7:21" ht="12" customHeight="1">
      <c r="I79" s="168"/>
      <c r="J79" s="168"/>
      <c r="K79" s="168"/>
      <c r="L79" s="168"/>
      <c r="M79" s="168"/>
      <c r="N79" s="168"/>
      <c r="O79" s="168"/>
    </row>
    <row r="80" spans="7:21" ht="12" customHeight="1">
      <c r="H80" s="278" t="s">
        <v>374</v>
      </c>
      <c r="I80" s="160" t="s">
        <v>369</v>
      </c>
      <c r="J80" s="163"/>
      <c r="K80" s="163"/>
      <c r="L80" s="163"/>
      <c r="M80" s="163"/>
      <c r="N80" s="163"/>
      <c r="O80" s="163"/>
    </row>
    <row r="81" spans="8:15" ht="12" customHeight="1">
      <c r="H81" s="278"/>
      <c r="I81" s="164" t="s">
        <v>371</v>
      </c>
      <c r="J81" s="163"/>
      <c r="K81" s="163"/>
      <c r="L81" s="163"/>
      <c r="M81" s="163"/>
      <c r="N81" s="163"/>
      <c r="O81" s="163"/>
    </row>
    <row r="82" spans="8:15" ht="12" customHeight="1">
      <c r="H82" s="278"/>
      <c r="I82" s="164" t="s">
        <v>372</v>
      </c>
      <c r="J82" s="163"/>
      <c r="K82" s="163"/>
      <c r="L82" s="163"/>
      <c r="M82" s="163"/>
      <c r="N82" s="163"/>
      <c r="O82" s="163"/>
    </row>
    <row r="83" spans="8:15" ht="12" customHeight="1">
      <c r="H83" s="278"/>
      <c r="I83" s="164" t="s">
        <v>373</v>
      </c>
      <c r="J83" s="163"/>
      <c r="K83" s="163"/>
      <c r="L83" s="163"/>
      <c r="M83" s="163"/>
      <c r="N83" s="163"/>
      <c r="O83" s="163"/>
    </row>
    <row r="84" spans="8:15" ht="12" customHeight="1">
      <c r="I84" s="168"/>
      <c r="J84" s="168"/>
      <c r="K84" s="168"/>
      <c r="L84" s="168"/>
      <c r="M84" s="168"/>
      <c r="N84" s="168"/>
      <c r="O84" s="168"/>
    </row>
    <row r="85" spans="8:15" ht="12" customHeight="1">
      <c r="H85" s="278" t="s">
        <v>375</v>
      </c>
      <c r="I85" s="160" t="s">
        <v>369</v>
      </c>
      <c r="J85" s="163"/>
      <c r="K85" s="163"/>
      <c r="L85" s="163"/>
      <c r="M85" s="163"/>
      <c r="N85" s="163"/>
      <c r="O85" s="163"/>
    </row>
    <row r="86" spans="8:15" ht="12" customHeight="1">
      <c r="H86" s="278"/>
      <c r="I86" s="164" t="s">
        <v>371</v>
      </c>
      <c r="J86" s="163"/>
      <c r="K86" s="163"/>
      <c r="L86" s="163"/>
      <c r="M86" s="163"/>
      <c r="N86" s="163"/>
      <c r="O86" s="163"/>
    </row>
    <row r="87" spans="8:15" ht="12" customHeight="1">
      <c r="H87" s="278"/>
      <c r="I87" s="164" t="s">
        <v>372</v>
      </c>
      <c r="J87" s="163"/>
      <c r="K87" s="163"/>
      <c r="L87" s="163"/>
      <c r="M87" s="163"/>
      <c r="N87" s="163"/>
      <c r="O87" s="163"/>
    </row>
    <row r="88" spans="8:15" ht="12" customHeight="1">
      <c r="H88" s="278"/>
      <c r="I88" s="164" t="s">
        <v>373</v>
      </c>
      <c r="J88" s="163"/>
      <c r="K88" s="163"/>
      <c r="L88" s="163"/>
      <c r="M88" s="163"/>
      <c r="N88" s="163"/>
      <c r="O88" s="163"/>
    </row>
  </sheetData>
  <mergeCells count="12">
    <mergeCell ref="H85:H88"/>
    <mergeCell ref="A19:B19"/>
    <mergeCell ref="A28:B28"/>
    <mergeCell ref="A3:B3"/>
    <mergeCell ref="A12:B12"/>
    <mergeCell ref="A21:B21"/>
    <mergeCell ref="A30:B30"/>
    <mergeCell ref="H57:H60"/>
    <mergeCell ref="H62:H65"/>
    <mergeCell ref="H67:H70"/>
    <mergeCell ref="H75:H78"/>
    <mergeCell ref="H80:H8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C0BF1-9BE4-9A41-A685-A5816F11A53C}">
  <dimension ref="A1:AK77"/>
  <sheetViews>
    <sheetView topLeftCell="W3" zoomScale="90" zoomScaleNormal="90" workbookViewId="0">
      <selection activeCell="AF47" sqref="AF47"/>
    </sheetView>
  </sheetViews>
  <sheetFormatPr baseColWidth="10" defaultColWidth="9.1640625" defaultRowHeight="15"/>
  <cols>
    <col min="1" max="1" width="18.5" style="131" customWidth="1"/>
    <col min="2" max="2" width="11.5" style="131" customWidth="1"/>
    <col min="3" max="14" width="9.1640625" style="131"/>
    <col min="15" max="15" width="6.1640625" style="131" customWidth="1"/>
    <col min="16" max="16384" width="9.1640625" style="131"/>
  </cols>
  <sheetData>
    <row r="1" spans="1:37">
      <c r="A1" s="267" t="s">
        <v>394</v>
      </c>
      <c r="B1" s="277"/>
      <c r="C1" s="277"/>
      <c r="D1" s="277"/>
      <c r="E1" s="277"/>
      <c r="F1" s="277"/>
      <c r="G1" s="277"/>
    </row>
    <row r="3" spans="1:37" ht="23">
      <c r="A3" s="290" t="s">
        <v>162</v>
      </c>
      <c r="B3" s="291" t="s">
        <v>342</v>
      </c>
      <c r="C3" s="291"/>
      <c r="D3" s="291"/>
      <c r="E3" s="291"/>
      <c r="F3" s="142"/>
      <c r="H3" s="141" t="s">
        <v>421</v>
      </c>
      <c r="W3" s="283" t="s">
        <v>441</v>
      </c>
      <c r="X3" s="283"/>
      <c r="Y3" s="283"/>
      <c r="Z3" s="283"/>
      <c r="AA3" s="283"/>
      <c r="AB3" s="283"/>
      <c r="AC3" s="283"/>
      <c r="AD3" s="283"/>
      <c r="AE3" s="283"/>
      <c r="AF3" s="283"/>
      <c r="AG3" s="283"/>
      <c r="AH3" s="283"/>
      <c r="AI3" s="283"/>
      <c r="AJ3" s="283"/>
      <c r="AK3" s="283"/>
    </row>
    <row r="4" spans="1:37">
      <c r="A4" s="290"/>
      <c r="B4" s="182">
        <v>1</v>
      </c>
      <c r="C4" s="182">
        <v>2</v>
      </c>
      <c r="D4" s="182">
        <v>3</v>
      </c>
      <c r="E4" s="182">
        <v>4</v>
      </c>
      <c r="F4" s="182" t="s">
        <v>80</v>
      </c>
      <c r="I4" s="144" t="s">
        <v>422</v>
      </c>
      <c r="J4" s="144" t="s">
        <v>423</v>
      </c>
      <c r="K4" s="144" t="s">
        <v>424</v>
      </c>
      <c r="L4" s="144" t="s">
        <v>425</v>
      </c>
    </row>
    <row r="5" spans="1:37">
      <c r="A5" s="149" t="s">
        <v>426</v>
      </c>
      <c r="B5" s="56">
        <v>4961</v>
      </c>
      <c r="C5" s="56">
        <v>3418</v>
      </c>
      <c r="D5" s="56">
        <v>31</v>
      </c>
      <c r="E5" s="56">
        <v>671</v>
      </c>
      <c r="F5" s="56">
        <v>9081</v>
      </c>
      <c r="H5" s="170" t="s">
        <v>342</v>
      </c>
      <c r="I5" s="56">
        <v>4961</v>
      </c>
      <c r="J5" s="56">
        <v>3418</v>
      </c>
      <c r="K5" s="56">
        <v>31</v>
      </c>
      <c r="L5" s="56">
        <v>671</v>
      </c>
    </row>
    <row r="6" spans="1:37">
      <c r="A6" s="149" t="s">
        <v>427</v>
      </c>
      <c r="B6" s="56">
        <v>671</v>
      </c>
      <c r="C6" s="56">
        <v>274</v>
      </c>
      <c r="D6" s="56">
        <v>1</v>
      </c>
      <c r="E6" s="56">
        <v>84</v>
      </c>
      <c r="F6" s="56">
        <v>1030</v>
      </c>
      <c r="H6" s="170" t="s">
        <v>365</v>
      </c>
      <c r="I6" s="56">
        <v>28344</v>
      </c>
      <c r="J6" s="56">
        <v>6305</v>
      </c>
      <c r="K6" s="56">
        <v>83</v>
      </c>
      <c r="L6" s="56">
        <v>1435</v>
      </c>
    </row>
    <row r="7" spans="1:37">
      <c r="A7" s="149" t="s">
        <v>428</v>
      </c>
      <c r="B7" s="56">
        <v>657</v>
      </c>
      <c r="C7" s="56">
        <v>31</v>
      </c>
      <c r="D7" s="56">
        <v>2</v>
      </c>
      <c r="E7" s="56">
        <v>78</v>
      </c>
      <c r="F7" s="56">
        <v>768</v>
      </c>
      <c r="H7" s="170" t="s">
        <v>343</v>
      </c>
      <c r="I7" s="213">
        <v>7792</v>
      </c>
      <c r="J7" s="213">
        <v>3151</v>
      </c>
      <c r="K7" s="208">
        <v>33</v>
      </c>
      <c r="L7" s="208">
        <v>635</v>
      </c>
    </row>
    <row r="8" spans="1:37">
      <c r="C8" s="142"/>
      <c r="D8" s="142"/>
      <c r="E8" s="142"/>
      <c r="F8" s="142"/>
      <c r="G8" s="142"/>
      <c r="H8" s="170" t="s">
        <v>344</v>
      </c>
      <c r="I8" s="56">
        <v>2896</v>
      </c>
      <c r="J8" s="56">
        <v>1526</v>
      </c>
      <c r="K8" s="56">
        <v>17</v>
      </c>
      <c r="L8" s="56">
        <v>223</v>
      </c>
    </row>
    <row r="9" spans="1:37">
      <c r="C9" s="142"/>
      <c r="D9" s="142"/>
      <c r="E9" s="142"/>
      <c r="F9" s="142"/>
      <c r="G9" s="142"/>
      <c r="H9" s="170" t="s">
        <v>366</v>
      </c>
      <c r="I9" s="56">
        <v>11828</v>
      </c>
      <c r="J9" s="56">
        <v>5512</v>
      </c>
      <c r="K9" s="56">
        <v>55</v>
      </c>
      <c r="L9" s="56">
        <v>729</v>
      </c>
    </row>
    <row r="10" spans="1:37">
      <c r="A10" s="144"/>
      <c r="B10" s="284" t="s">
        <v>365</v>
      </c>
      <c r="C10" s="284"/>
      <c r="D10" s="284"/>
      <c r="E10" s="183"/>
      <c r="F10" s="142"/>
      <c r="G10" s="142"/>
      <c r="H10" s="139"/>
      <c r="I10" s="183"/>
      <c r="J10" s="183"/>
      <c r="K10" s="183"/>
      <c r="L10" s="183"/>
    </row>
    <row r="11" spans="1:37">
      <c r="A11" s="144"/>
      <c r="B11" s="144" t="s">
        <v>422</v>
      </c>
      <c r="C11" s="144" t="s">
        <v>423</v>
      </c>
      <c r="D11" s="144" t="s">
        <v>424</v>
      </c>
      <c r="E11" s="144" t="s">
        <v>425</v>
      </c>
      <c r="F11" s="142" t="s">
        <v>80</v>
      </c>
      <c r="G11" s="142"/>
    </row>
    <row r="12" spans="1:37">
      <c r="A12" s="149" t="s">
        <v>426</v>
      </c>
      <c r="B12" s="56">
        <v>28344</v>
      </c>
      <c r="C12" s="56">
        <v>6305</v>
      </c>
      <c r="D12" s="56">
        <v>83</v>
      </c>
      <c r="E12" s="56">
        <v>1435</v>
      </c>
      <c r="F12" s="56">
        <v>36167</v>
      </c>
      <c r="G12" s="142"/>
    </row>
    <row r="13" spans="1:37">
      <c r="A13" s="149" t="s">
        <v>427</v>
      </c>
      <c r="B13" s="56">
        <v>3800</v>
      </c>
      <c r="C13" s="56">
        <v>389</v>
      </c>
      <c r="D13" s="56">
        <v>6</v>
      </c>
      <c r="E13" s="56">
        <v>182</v>
      </c>
      <c r="F13" s="56">
        <v>4377</v>
      </c>
      <c r="G13" s="142"/>
      <c r="H13" s="149" t="s">
        <v>427</v>
      </c>
    </row>
    <row r="14" spans="1:37">
      <c r="A14" s="149" t="s">
        <v>428</v>
      </c>
      <c r="B14" s="56">
        <v>12029</v>
      </c>
      <c r="C14" s="56">
        <v>222</v>
      </c>
      <c r="D14" s="56">
        <v>10</v>
      </c>
      <c r="E14" s="56">
        <v>273</v>
      </c>
      <c r="F14" s="56">
        <v>12534</v>
      </c>
      <c r="G14" s="142"/>
      <c r="I14" s="144" t="s">
        <v>422</v>
      </c>
      <c r="J14" s="144" t="s">
        <v>423</v>
      </c>
      <c r="K14" s="144" t="s">
        <v>424</v>
      </c>
      <c r="L14" s="144" t="s">
        <v>425</v>
      </c>
    </row>
    <row r="15" spans="1:37">
      <c r="A15" s="141"/>
      <c r="B15" s="139"/>
      <c r="C15" s="183"/>
      <c r="D15" s="183"/>
      <c r="E15" s="183"/>
      <c r="F15" s="142"/>
      <c r="G15" s="142"/>
      <c r="H15" s="170" t="s">
        <v>342</v>
      </c>
      <c r="I15" s="56">
        <v>671</v>
      </c>
      <c r="J15" s="56">
        <v>274</v>
      </c>
      <c r="K15" s="56">
        <v>1</v>
      </c>
      <c r="L15" s="56">
        <v>84</v>
      </c>
    </row>
    <row r="16" spans="1:37">
      <c r="A16" s="280" t="s">
        <v>162</v>
      </c>
      <c r="B16" s="264" t="s">
        <v>343</v>
      </c>
      <c r="C16" s="264"/>
      <c r="D16" s="264"/>
      <c r="E16" s="264"/>
      <c r="F16" s="142"/>
      <c r="G16" s="142"/>
      <c r="H16" s="170" t="s">
        <v>365</v>
      </c>
      <c r="I16" s="56">
        <v>3800</v>
      </c>
      <c r="J16" s="56">
        <v>389</v>
      </c>
      <c r="K16" s="56">
        <v>6</v>
      </c>
      <c r="L16" s="56">
        <v>182</v>
      </c>
    </row>
    <row r="17" spans="1:12" ht="16" thickBot="1">
      <c r="A17" s="280"/>
      <c r="B17" s="214">
        <v>1</v>
      </c>
      <c r="C17" s="214">
        <v>2</v>
      </c>
      <c r="D17" s="214">
        <v>3</v>
      </c>
      <c r="E17" s="214">
        <v>4</v>
      </c>
      <c r="F17" s="184" t="s">
        <v>80</v>
      </c>
      <c r="G17" s="142"/>
      <c r="H17" s="170" t="s">
        <v>343</v>
      </c>
      <c r="I17" s="213">
        <v>1444</v>
      </c>
      <c r="J17" s="208">
        <v>276</v>
      </c>
      <c r="K17" s="208">
        <v>3</v>
      </c>
      <c r="L17" s="208">
        <v>118</v>
      </c>
    </row>
    <row r="18" spans="1:12">
      <c r="A18" s="149" t="s">
        <v>426</v>
      </c>
      <c r="B18" s="213">
        <v>7792</v>
      </c>
      <c r="C18" s="213">
        <v>3151</v>
      </c>
      <c r="D18" s="208">
        <v>33</v>
      </c>
      <c r="E18" s="208">
        <v>635</v>
      </c>
      <c r="F18" s="213">
        <v>11611</v>
      </c>
      <c r="G18" s="142"/>
      <c r="H18" s="170" t="s">
        <v>344</v>
      </c>
      <c r="I18" s="56">
        <v>578</v>
      </c>
      <c r="J18" s="56">
        <v>169</v>
      </c>
      <c r="K18" s="56">
        <v>0</v>
      </c>
      <c r="L18" s="56">
        <v>38</v>
      </c>
    </row>
    <row r="19" spans="1:12">
      <c r="A19" s="149" t="s">
        <v>427</v>
      </c>
      <c r="B19" s="213">
        <v>1444</v>
      </c>
      <c r="C19" s="208">
        <v>276</v>
      </c>
      <c r="D19" s="208">
        <v>3</v>
      </c>
      <c r="E19" s="208">
        <v>118</v>
      </c>
      <c r="F19" s="213">
        <v>1841</v>
      </c>
      <c r="G19" s="142"/>
      <c r="H19" s="170" t="s">
        <v>366</v>
      </c>
      <c r="I19" s="56">
        <v>2123</v>
      </c>
      <c r="J19" s="56">
        <v>499</v>
      </c>
      <c r="K19" s="56">
        <v>6</v>
      </c>
      <c r="L19" s="56">
        <v>134</v>
      </c>
    </row>
    <row r="20" spans="1:12">
      <c r="A20" s="149" t="s">
        <v>428</v>
      </c>
      <c r="B20" s="213">
        <v>1103</v>
      </c>
      <c r="C20" s="208">
        <v>70</v>
      </c>
      <c r="D20" s="208">
        <v>0</v>
      </c>
      <c r="E20" s="208">
        <v>75</v>
      </c>
      <c r="F20" s="213">
        <v>1248</v>
      </c>
      <c r="G20" s="142"/>
      <c r="H20" s="139"/>
      <c r="I20" s="183"/>
      <c r="J20" s="183"/>
      <c r="K20" s="183"/>
      <c r="L20" s="183"/>
    </row>
    <row r="21" spans="1:12">
      <c r="A21" s="141"/>
      <c r="B21" s="139"/>
      <c r="C21" s="183"/>
      <c r="D21" s="183"/>
      <c r="E21" s="183"/>
      <c r="F21" s="142"/>
      <c r="G21" s="142"/>
    </row>
    <row r="22" spans="1:12">
      <c r="A22" s="144"/>
      <c r="B22" s="284" t="s">
        <v>344</v>
      </c>
      <c r="C22" s="284"/>
      <c r="D22" s="284"/>
      <c r="E22" s="183"/>
      <c r="F22" s="142"/>
      <c r="G22" s="142"/>
    </row>
    <row r="23" spans="1:12">
      <c r="A23" s="144"/>
      <c r="B23" s="144" t="s">
        <v>422</v>
      </c>
      <c r="C23" s="144" t="s">
        <v>423</v>
      </c>
      <c r="D23" s="144" t="s">
        <v>424</v>
      </c>
      <c r="E23" s="144" t="s">
        <v>425</v>
      </c>
      <c r="F23" s="142"/>
      <c r="G23" s="142"/>
      <c r="H23" s="149" t="s">
        <v>428</v>
      </c>
    </row>
    <row r="24" spans="1:12">
      <c r="A24" s="149" t="s">
        <v>426</v>
      </c>
      <c r="B24" s="56">
        <v>2896</v>
      </c>
      <c r="C24" s="56">
        <v>1526</v>
      </c>
      <c r="D24" s="56">
        <v>17</v>
      </c>
      <c r="E24" s="56">
        <v>223</v>
      </c>
      <c r="F24" s="56">
        <v>4662</v>
      </c>
      <c r="G24" s="142"/>
      <c r="I24" s="144" t="s">
        <v>422</v>
      </c>
      <c r="J24" s="144" t="s">
        <v>423</v>
      </c>
      <c r="K24" s="144" t="s">
        <v>424</v>
      </c>
      <c r="L24" s="144" t="s">
        <v>425</v>
      </c>
    </row>
    <row r="25" spans="1:12">
      <c r="A25" s="149" t="s">
        <v>427</v>
      </c>
      <c r="B25" s="56">
        <v>578</v>
      </c>
      <c r="C25" s="56">
        <v>169</v>
      </c>
      <c r="D25" s="56">
        <v>0</v>
      </c>
      <c r="E25" s="56">
        <v>38</v>
      </c>
      <c r="F25" s="56">
        <v>785</v>
      </c>
      <c r="G25" s="142"/>
      <c r="H25" s="170" t="s">
        <v>342</v>
      </c>
      <c r="I25" s="56">
        <v>657</v>
      </c>
      <c r="J25" s="56">
        <v>31</v>
      </c>
      <c r="K25" s="56">
        <v>2</v>
      </c>
      <c r="L25" s="56">
        <v>78</v>
      </c>
    </row>
    <row r="26" spans="1:12">
      <c r="A26" s="149" t="s">
        <v>428</v>
      </c>
      <c r="B26" s="56">
        <v>594</v>
      </c>
      <c r="C26" s="56">
        <v>40</v>
      </c>
      <c r="D26" s="56">
        <v>0</v>
      </c>
      <c r="E26" s="56">
        <v>33</v>
      </c>
      <c r="F26" s="56">
        <v>667</v>
      </c>
      <c r="G26" s="142"/>
      <c r="H26" s="170" t="s">
        <v>365</v>
      </c>
      <c r="I26" s="56">
        <v>12029</v>
      </c>
      <c r="J26" s="56">
        <v>222</v>
      </c>
      <c r="K26" s="56">
        <v>10</v>
      </c>
      <c r="L26" s="56">
        <v>273</v>
      </c>
    </row>
    <row r="27" spans="1:12">
      <c r="A27" s="141"/>
      <c r="B27" s="139"/>
      <c r="C27" s="183"/>
      <c r="D27" s="183"/>
      <c r="E27" s="183"/>
      <c r="F27" s="142"/>
      <c r="G27" s="142"/>
      <c r="H27" s="170" t="s">
        <v>343</v>
      </c>
      <c r="I27" s="213">
        <v>1103</v>
      </c>
      <c r="J27" s="208">
        <v>70</v>
      </c>
      <c r="K27" s="208">
        <v>0</v>
      </c>
      <c r="L27" s="208">
        <v>75</v>
      </c>
    </row>
    <row r="28" spans="1:12">
      <c r="A28" s="280" t="s">
        <v>162</v>
      </c>
      <c r="B28" s="264" t="s">
        <v>366</v>
      </c>
      <c r="C28" s="264"/>
      <c r="D28" s="264"/>
      <c r="E28" s="264"/>
      <c r="F28" s="142"/>
      <c r="G28" s="142"/>
      <c r="H28" s="170" t="s">
        <v>344</v>
      </c>
      <c r="I28" s="56">
        <v>594</v>
      </c>
      <c r="J28" s="56">
        <v>40</v>
      </c>
      <c r="K28" s="56">
        <v>0</v>
      </c>
      <c r="L28" s="56">
        <v>33</v>
      </c>
    </row>
    <row r="29" spans="1:12">
      <c r="A29" s="280"/>
      <c r="B29" s="117">
        <v>1</v>
      </c>
      <c r="C29" s="117">
        <v>2</v>
      </c>
      <c r="D29" s="117">
        <v>3</v>
      </c>
      <c r="E29" s="117">
        <v>4</v>
      </c>
      <c r="F29" s="184" t="s">
        <v>80</v>
      </c>
      <c r="G29" s="142"/>
      <c r="H29" s="170" t="s">
        <v>366</v>
      </c>
      <c r="I29" s="56">
        <v>1538</v>
      </c>
      <c r="J29" s="56">
        <v>102</v>
      </c>
      <c r="K29" s="56">
        <v>2</v>
      </c>
      <c r="L29" s="56">
        <v>78</v>
      </c>
    </row>
    <row r="30" spans="1:12">
      <c r="A30" s="149" t="s">
        <v>426</v>
      </c>
      <c r="B30" s="56">
        <v>11828</v>
      </c>
      <c r="C30" s="56">
        <v>5512</v>
      </c>
      <c r="D30" s="56">
        <v>55</v>
      </c>
      <c r="E30" s="56">
        <v>729</v>
      </c>
      <c r="F30" s="56">
        <v>18124</v>
      </c>
      <c r="G30" s="142"/>
      <c r="H30" s="139"/>
      <c r="I30" s="183"/>
      <c r="J30" s="183"/>
      <c r="K30" s="183"/>
      <c r="L30" s="183"/>
    </row>
    <row r="31" spans="1:12">
      <c r="A31" s="149" t="s">
        <v>427</v>
      </c>
      <c r="B31" s="56">
        <v>2123</v>
      </c>
      <c r="C31" s="56">
        <v>499</v>
      </c>
      <c r="D31" s="56">
        <v>6</v>
      </c>
      <c r="E31" s="56">
        <v>134</v>
      </c>
      <c r="F31" s="56">
        <v>2762</v>
      </c>
      <c r="G31" s="142"/>
    </row>
    <row r="32" spans="1:12">
      <c r="A32" s="149" t="s">
        <v>428</v>
      </c>
      <c r="B32" s="56">
        <v>1538</v>
      </c>
      <c r="C32" s="56">
        <v>102</v>
      </c>
      <c r="D32" s="56">
        <v>2</v>
      </c>
      <c r="E32" s="56">
        <v>78</v>
      </c>
      <c r="F32" s="56">
        <v>1720</v>
      </c>
      <c r="G32" s="142"/>
    </row>
    <row r="33" spans="1:7">
      <c r="A33" s="141"/>
      <c r="B33" s="139"/>
      <c r="C33" s="183"/>
      <c r="D33" s="183"/>
      <c r="E33" s="183"/>
      <c r="F33" s="142"/>
      <c r="G33" s="142"/>
    </row>
    <row r="34" spans="1:7">
      <c r="A34" s="141"/>
      <c r="B34" s="139"/>
      <c r="C34" s="117"/>
      <c r="D34" s="183"/>
      <c r="E34" s="183"/>
      <c r="F34" s="142"/>
      <c r="G34" s="142"/>
    </row>
    <row r="35" spans="1:7">
      <c r="A35" s="144"/>
      <c r="B35" s="185" t="s">
        <v>422</v>
      </c>
      <c r="C35" s="185" t="s">
        <v>423</v>
      </c>
      <c r="D35" s="185" t="s">
        <v>424</v>
      </c>
      <c r="E35" s="185" t="s">
        <v>425</v>
      </c>
      <c r="F35" s="142"/>
      <c r="G35" s="142"/>
    </row>
    <row r="36" spans="1:7">
      <c r="A36" s="149" t="s">
        <v>426</v>
      </c>
      <c r="B36" s="183"/>
      <c r="C36" s="183"/>
      <c r="D36" s="183"/>
      <c r="E36" s="183"/>
      <c r="F36" s="142"/>
      <c r="G36" s="142"/>
    </row>
    <row r="37" spans="1:7">
      <c r="A37" s="149" t="s">
        <v>427</v>
      </c>
      <c r="B37" s="183"/>
      <c r="C37" s="183"/>
      <c r="D37" s="183"/>
      <c r="E37" s="183"/>
      <c r="F37" s="142"/>
      <c r="G37" s="142"/>
    </row>
    <row r="38" spans="1:7">
      <c r="A38" s="149" t="s">
        <v>428</v>
      </c>
      <c r="B38" s="183"/>
      <c r="C38" s="183"/>
      <c r="D38" s="183"/>
      <c r="E38" s="183"/>
      <c r="F38" s="142"/>
      <c r="G38" s="142"/>
    </row>
    <row r="56" spans="14:19">
      <c r="N56" s="281" t="s">
        <v>429</v>
      </c>
      <c r="O56" s="281"/>
      <c r="P56" s="281"/>
      <c r="Q56" s="281"/>
      <c r="R56" s="281"/>
      <c r="S56" s="281"/>
    </row>
    <row r="57" spans="14:19">
      <c r="N57" s="281"/>
      <c r="O57" s="281"/>
      <c r="P57" s="281"/>
      <c r="Q57" s="281"/>
      <c r="R57" s="281"/>
      <c r="S57" s="281"/>
    </row>
    <row r="58" spans="14:19">
      <c r="P58" s="282" t="s">
        <v>430</v>
      </c>
      <c r="Q58" s="282" t="s">
        <v>423</v>
      </c>
      <c r="R58" s="282" t="s">
        <v>424</v>
      </c>
      <c r="S58" s="282" t="s">
        <v>431</v>
      </c>
    </row>
    <row r="59" spans="14:19">
      <c r="P59" s="282"/>
      <c r="Q59" s="282"/>
      <c r="R59" s="282"/>
      <c r="S59" s="282"/>
    </row>
    <row r="60" spans="14:19">
      <c r="N60" s="285" t="s">
        <v>421</v>
      </c>
      <c r="O60" s="186" t="s">
        <v>342</v>
      </c>
      <c r="P60" s="125">
        <v>2987</v>
      </c>
      <c r="Q60" s="125">
        <v>2970</v>
      </c>
      <c r="R60" s="125">
        <v>19</v>
      </c>
      <c r="S60" s="125">
        <v>243</v>
      </c>
    </row>
    <row r="61" spans="14:19">
      <c r="N61" s="285"/>
      <c r="O61" s="186" t="s">
        <v>343</v>
      </c>
      <c r="P61" s="187">
        <v>3686</v>
      </c>
      <c r="Q61" s="187">
        <v>2114</v>
      </c>
      <c r="R61" s="187">
        <v>9</v>
      </c>
      <c r="S61" s="187">
        <v>361</v>
      </c>
    </row>
    <row r="62" spans="14:19">
      <c r="N62" s="285"/>
      <c r="O62" s="186" t="s">
        <v>344</v>
      </c>
      <c r="P62" s="187">
        <v>1183</v>
      </c>
      <c r="Q62" s="187">
        <v>1074</v>
      </c>
      <c r="R62" s="187">
        <v>5</v>
      </c>
      <c r="S62" s="187">
        <v>79</v>
      </c>
    </row>
    <row r="63" spans="14:19">
      <c r="N63" s="285"/>
      <c r="O63" s="186" t="s">
        <v>345</v>
      </c>
      <c r="P63" s="187">
        <v>12819</v>
      </c>
      <c r="Q63" s="187">
        <v>8220</v>
      </c>
      <c r="R63" s="187">
        <v>60</v>
      </c>
      <c r="S63" s="187">
        <v>1138</v>
      </c>
    </row>
    <row r="64" spans="14:19">
      <c r="N64" s="285"/>
      <c r="O64" s="186" t="s">
        <v>346</v>
      </c>
      <c r="P64" s="187">
        <v>7489</v>
      </c>
      <c r="Q64" s="187">
        <v>5541</v>
      </c>
      <c r="R64" s="187">
        <v>44</v>
      </c>
      <c r="S64" s="187">
        <v>693</v>
      </c>
    </row>
    <row r="65" spans="14:19" ht="16" thickBot="1">
      <c r="N65" s="286"/>
      <c r="O65" s="188" t="s">
        <v>347</v>
      </c>
      <c r="P65" s="189">
        <v>449</v>
      </c>
      <c r="Q65" s="189">
        <v>894</v>
      </c>
      <c r="R65" s="189">
        <v>3</v>
      </c>
      <c r="S65" s="189">
        <v>50</v>
      </c>
    </row>
    <row r="66" spans="14:19">
      <c r="N66" s="287" t="s">
        <v>427</v>
      </c>
      <c r="O66" s="190" t="s">
        <v>342</v>
      </c>
      <c r="P66" s="191">
        <v>1040</v>
      </c>
      <c r="Q66" s="191">
        <v>327</v>
      </c>
      <c r="R66" s="191">
        <v>1</v>
      </c>
      <c r="S66" s="191">
        <v>72</v>
      </c>
    </row>
    <row r="67" spans="14:19">
      <c r="N67" s="285"/>
      <c r="O67" s="186" t="s">
        <v>343</v>
      </c>
      <c r="P67" s="187">
        <v>1001</v>
      </c>
      <c r="Q67" s="187">
        <v>246</v>
      </c>
      <c r="R67" s="187">
        <v>1</v>
      </c>
      <c r="S67" s="187">
        <v>60</v>
      </c>
    </row>
    <row r="68" spans="14:19">
      <c r="N68" s="285"/>
      <c r="O68" s="186" t="s">
        <v>344</v>
      </c>
      <c r="P68" s="187">
        <v>353</v>
      </c>
      <c r="Q68" s="187">
        <v>128</v>
      </c>
      <c r="R68" s="187">
        <v>0</v>
      </c>
      <c r="S68" s="187">
        <v>19</v>
      </c>
    </row>
    <row r="69" spans="14:19">
      <c r="N69" s="285"/>
      <c r="O69" s="186" t="s">
        <v>345</v>
      </c>
      <c r="P69" s="187">
        <v>2750</v>
      </c>
      <c r="Q69" s="187">
        <v>810</v>
      </c>
      <c r="R69" s="187">
        <v>10</v>
      </c>
      <c r="S69" s="187">
        <v>231</v>
      </c>
    </row>
    <row r="70" spans="14:19">
      <c r="N70" s="285"/>
      <c r="O70" s="186" t="s">
        <v>346</v>
      </c>
      <c r="P70" s="187">
        <v>2522</v>
      </c>
      <c r="Q70" s="187">
        <v>712</v>
      </c>
      <c r="R70" s="187">
        <v>5</v>
      </c>
      <c r="S70" s="187">
        <v>173</v>
      </c>
    </row>
    <row r="71" spans="14:19" ht="16" thickBot="1">
      <c r="N71" s="288"/>
      <c r="O71" s="192" t="s">
        <v>347</v>
      </c>
      <c r="P71" s="193">
        <v>143</v>
      </c>
      <c r="Q71" s="193">
        <v>88</v>
      </c>
      <c r="R71" s="193">
        <v>0</v>
      </c>
      <c r="S71" s="193">
        <v>11</v>
      </c>
    </row>
    <row r="72" spans="14:19">
      <c r="N72" s="289" t="s">
        <v>428</v>
      </c>
      <c r="O72" s="194" t="s">
        <v>342</v>
      </c>
      <c r="P72" s="195">
        <v>181</v>
      </c>
      <c r="Q72" s="195">
        <v>26</v>
      </c>
      <c r="R72" s="195">
        <v>1</v>
      </c>
      <c r="S72" s="195">
        <v>10</v>
      </c>
    </row>
    <row r="73" spans="14:19">
      <c r="N73" s="285"/>
      <c r="O73" s="186" t="s">
        <v>343</v>
      </c>
      <c r="P73" s="187">
        <v>235</v>
      </c>
      <c r="Q73" s="187">
        <v>32</v>
      </c>
      <c r="R73" s="187">
        <v>0</v>
      </c>
      <c r="S73" s="187">
        <v>21</v>
      </c>
    </row>
    <row r="74" spans="14:19">
      <c r="N74" s="285"/>
      <c r="O74" s="186" t="s">
        <v>344</v>
      </c>
      <c r="P74" s="187">
        <v>106</v>
      </c>
      <c r="Q74" s="187">
        <v>20</v>
      </c>
      <c r="R74" s="187">
        <v>0</v>
      </c>
      <c r="S74" s="187">
        <v>10</v>
      </c>
    </row>
    <row r="75" spans="14:19">
      <c r="N75" s="285"/>
      <c r="O75" s="186" t="s">
        <v>345</v>
      </c>
      <c r="P75" s="187">
        <v>1414</v>
      </c>
      <c r="Q75" s="187">
        <v>260</v>
      </c>
      <c r="R75" s="187">
        <v>1</v>
      </c>
      <c r="S75" s="187">
        <v>142</v>
      </c>
    </row>
    <row r="76" spans="14:19">
      <c r="N76" s="285"/>
      <c r="O76" s="186" t="s">
        <v>346</v>
      </c>
      <c r="P76" s="187">
        <v>457</v>
      </c>
      <c r="Q76" s="187">
        <v>90</v>
      </c>
      <c r="R76" s="187">
        <v>1</v>
      </c>
      <c r="S76" s="187">
        <v>51</v>
      </c>
    </row>
    <row r="77" spans="14:19">
      <c r="N77" s="285"/>
      <c r="O77" s="186" t="s">
        <v>347</v>
      </c>
      <c r="P77" s="187">
        <v>9</v>
      </c>
      <c r="Q77" s="187">
        <v>1</v>
      </c>
      <c r="R77" s="187">
        <v>0</v>
      </c>
      <c r="S77" s="187">
        <v>0</v>
      </c>
    </row>
  </sheetData>
  <mergeCells count="18">
    <mergeCell ref="A16:A17"/>
    <mergeCell ref="B16:E16"/>
    <mergeCell ref="A1:G1"/>
    <mergeCell ref="A3:A4"/>
    <mergeCell ref="B3:E3"/>
    <mergeCell ref="W3:AK3"/>
    <mergeCell ref="B10:D10"/>
    <mergeCell ref="N60:N65"/>
    <mergeCell ref="N66:N71"/>
    <mergeCell ref="N72:N77"/>
    <mergeCell ref="B22:D22"/>
    <mergeCell ref="A28:A29"/>
    <mergeCell ref="B28:E28"/>
    <mergeCell ref="N56:S57"/>
    <mergeCell ref="P58:P59"/>
    <mergeCell ref="Q58:Q59"/>
    <mergeCell ref="R58:R59"/>
    <mergeCell ref="S58:S5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980B3-A1EC-2845-9AFB-0253D79DE56D}">
  <dimension ref="B1:P24"/>
  <sheetViews>
    <sheetView topLeftCell="S26" workbookViewId="0">
      <selection activeCell="E10" sqref="E10"/>
    </sheetView>
  </sheetViews>
  <sheetFormatPr baseColWidth="10" defaultColWidth="9.1640625" defaultRowHeight="15"/>
  <cols>
    <col min="1" max="1" width="21.33203125" style="131" customWidth="1"/>
    <col min="2" max="2" width="112" style="131" customWidth="1"/>
    <col min="3" max="6" width="8" style="131" bestFit="1" customWidth="1"/>
    <col min="7" max="8" width="8" style="131" customWidth="1"/>
    <col min="9" max="9" width="9.1640625" style="131"/>
    <col min="10" max="10" width="44.6640625" style="131" bestFit="1" customWidth="1"/>
    <col min="11" max="16384" width="9.1640625" style="131"/>
  </cols>
  <sheetData>
    <row r="1" spans="2:16">
      <c r="B1" s="267" t="s">
        <v>432</v>
      </c>
      <c r="C1" s="277"/>
      <c r="D1" s="277"/>
      <c r="E1" s="277"/>
      <c r="F1" s="277"/>
      <c r="G1" s="277"/>
    </row>
    <row r="3" spans="2:16">
      <c r="B3" s="280" t="s">
        <v>162</v>
      </c>
      <c r="C3" s="264"/>
      <c r="D3" s="264"/>
      <c r="E3" s="264"/>
      <c r="F3" s="264"/>
    </row>
    <row r="4" spans="2:16">
      <c r="B4" s="280"/>
      <c r="C4" s="170" t="s">
        <v>342</v>
      </c>
      <c r="D4" s="170" t="s">
        <v>365</v>
      </c>
      <c r="E4" s="170" t="s">
        <v>343</v>
      </c>
      <c r="F4" s="170" t="s">
        <v>344</v>
      </c>
      <c r="G4" s="170" t="s">
        <v>366</v>
      </c>
      <c r="H4" s="170"/>
    </row>
    <row r="5" spans="2:16">
      <c r="B5" s="173" t="s">
        <v>195</v>
      </c>
      <c r="C5" s="56">
        <v>7334</v>
      </c>
      <c r="D5" s="56">
        <v>31922</v>
      </c>
      <c r="E5" s="213">
        <v>8174</v>
      </c>
      <c r="F5" s="56">
        <v>3731</v>
      </c>
      <c r="G5" s="56">
        <v>14721</v>
      </c>
      <c r="H5" s="197"/>
    </row>
    <row r="6" spans="2:16">
      <c r="B6" s="173" t="s">
        <v>196</v>
      </c>
      <c r="C6" s="56">
        <v>1752</v>
      </c>
      <c r="D6" s="56">
        <v>4404</v>
      </c>
      <c r="E6" s="213">
        <v>3540</v>
      </c>
      <c r="F6" s="56">
        <v>958</v>
      </c>
      <c r="G6" s="56">
        <v>3438</v>
      </c>
      <c r="H6" s="197"/>
    </row>
    <row r="7" spans="2:16" ht="28">
      <c r="B7" s="198" t="s">
        <v>197</v>
      </c>
      <c r="C7" s="56">
        <v>1558</v>
      </c>
      <c r="D7" s="56">
        <v>4054</v>
      </c>
      <c r="E7" s="213">
        <v>3289</v>
      </c>
      <c r="F7" s="56">
        <v>874</v>
      </c>
      <c r="G7" s="56">
        <v>2835</v>
      </c>
      <c r="H7" s="197"/>
    </row>
    <row r="8" spans="2:16" ht="28">
      <c r="B8" s="198" t="s">
        <v>198</v>
      </c>
      <c r="C8" s="56">
        <v>1558</v>
      </c>
      <c r="D8" s="56">
        <v>4054</v>
      </c>
      <c r="E8" s="213">
        <v>3289</v>
      </c>
      <c r="F8" s="56">
        <v>874</v>
      </c>
      <c r="G8" s="56">
        <v>3074</v>
      </c>
      <c r="H8" s="197"/>
    </row>
    <row r="11" spans="2:16" ht="28">
      <c r="B11" s="198" t="s">
        <v>433</v>
      </c>
    </row>
    <row r="12" spans="2:16">
      <c r="J12" s="263" t="s">
        <v>434</v>
      </c>
      <c r="K12" s="263"/>
      <c r="L12" s="263"/>
      <c r="M12" s="263"/>
      <c r="N12" s="263"/>
      <c r="O12" s="263"/>
      <c r="P12" s="263"/>
    </row>
    <row r="13" spans="2:16">
      <c r="J13" s="175" t="s">
        <v>162</v>
      </c>
      <c r="K13" s="264"/>
      <c r="L13" s="264"/>
      <c r="M13" s="264"/>
      <c r="N13" s="264"/>
    </row>
    <row r="14" spans="2:16">
      <c r="J14" s="175"/>
      <c r="K14" s="170" t="s">
        <v>342</v>
      </c>
      <c r="L14" s="170" t="s">
        <v>365</v>
      </c>
      <c r="M14" s="170" t="s">
        <v>343</v>
      </c>
      <c r="N14" s="170" t="s">
        <v>344</v>
      </c>
      <c r="O14" s="170" t="s">
        <v>366</v>
      </c>
      <c r="P14" s="196"/>
    </row>
    <row r="15" spans="2:16">
      <c r="J15" s="123" t="s">
        <v>435</v>
      </c>
      <c r="K15" s="56">
        <v>7334</v>
      </c>
      <c r="L15" s="56">
        <v>31922</v>
      </c>
      <c r="M15" s="213">
        <v>8174</v>
      </c>
      <c r="N15" s="56">
        <v>3731</v>
      </c>
      <c r="O15" s="199"/>
      <c r="P15" s="199"/>
    </row>
    <row r="16" spans="2:16">
      <c r="J16" s="164" t="s">
        <v>436</v>
      </c>
      <c r="K16" s="56">
        <v>1752</v>
      </c>
      <c r="L16" s="56">
        <v>4404</v>
      </c>
      <c r="M16" s="213">
        <v>3540</v>
      </c>
      <c r="N16" s="56">
        <v>958</v>
      </c>
      <c r="O16" s="199"/>
      <c r="P16" s="199"/>
    </row>
    <row r="20" spans="10:16">
      <c r="J20" s="263" t="s">
        <v>437</v>
      </c>
      <c r="K20" s="263"/>
      <c r="L20" s="263"/>
      <c r="M20" s="263"/>
      <c r="N20" s="263"/>
      <c r="O20" s="263"/>
      <c r="P20" s="263"/>
    </row>
    <row r="22" spans="10:16">
      <c r="J22" s="141" t="s">
        <v>438</v>
      </c>
      <c r="K22" s="170" t="s">
        <v>342</v>
      </c>
      <c r="L22" s="170" t="s">
        <v>365</v>
      </c>
      <c r="M22" s="170" t="s">
        <v>343</v>
      </c>
      <c r="N22" s="170" t="s">
        <v>344</v>
      </c>
      <c r="O22" s="170" t="s">
        <v>366</v>
      </c>
      <c r="P22" s="196"/>
    </row>
    <row r="23" spans="10:16">
      <c r="J23" s="186" t="s">
        <v>439</v>
      </c>
      <c r="K23" s="56">
        <v>1558</v>
      </c>
      <c r="L23" s="56">
        <v>4054</v>
      </c>
      <c r="M23" s="213">
        <v>3289</v>
      </c>
      <c r="N23" s="56">
        <v>874</v>
      </c>
      <c r="O23" s="199"/>
      <c r="P23" s="199"/>
    </row>
    <row r="24" spans="10:16">
      <c r="J24" s="186" t="s">
        <v>440</v>
      </c>
      <c r="K24" s="56">
        <v>1558</v>
      </c>
      <c r="L24" s="56">
        <v>4054</v>
      </c>
      <c r="M24" s="213">
        <v>3289</v>
      </c>
      <c r="N24" s="56">
        <v>874</v>
      </c>
      <c r="O24" s="199"/>
      <c r="P24" s="199"/>
    </row>
  </sheetData>
  <mergeCells count="6">
    <mergeCell ref="J20:P20"/>
    <mergeCell ref="B1:G1"/>
    <mergeCell ref="B3:B4"/>
    <mergeCell ref="C3:F3"/>
    <mergeCell ref="J12:P12"/>
    <mergeCell ref="K13:N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J8"/>
  <sheetViews>
    <sheetView zoomScaleNormal="100" workbookViewId="0">
      <selection activeCell="G20" sqref="G20"/>
    </sheetView>
  </sheetViews>
  <sheetFormatPr baseColWidth="10" defaultColWidth="8.6640625" defaultRowHeight="15"/>
  <cols>
    <col min="9" max="9" width="6.6640625" bestFit="1" customWidth="1"/>
  </cols>
  <sheetData>
    <row r="1" spans="1:62" s="52" customFormat="1" ht="16.25" customHeight="1">
      <c r="A1" s="259" t="s">
        <v>225</v>
      </c>
      <c r="B1" s="256"/>
      <c r="C1" s="256"/>
      <c r="D1" s="256"/>
      <c r="E1" s="256"/>
      <c r="F1" s="256"/>
      <c r="G1" s="256"/>
    </row>
    <row r="2" spans="1:62" s="52" customFormat="1" ht="12" customHeight="1">
      <c r="C2" s="253" t="str">
        <f>Table_4.0_Information!$A$4</f>
        <v>Colorado</v>
      </c>
      <c r="D2" s="253"/>
      <c r="E2" s="253"/>
      <c r="F2" s="253"/>
      <c r="G2" s="253"/>
      <c r="H2" s="253" t="str">
        <f>Table_4.0_Information!$A$5</f>
        <v>Kentucky</v>
      </c>
      <c r="I2" s="253"/>
      <c r="J2" s="253"/>
      <c r="K2" s="253"/>
      <c r="L2" s="253"/>
      <c r="M2" s="253" t="str">
        <f>Table_4.0_Information!$A$6</f>
        <v>New Mexico</v>
      </c>
      <c r="N2" s="253"/>
      <c r="O2" s="253"/>
      <c r="P2" s="253"/>
      <c r="Q2" s="253"/>
      <c r="R2" s="253" t="str">
        <f>Table_4.0_Information!$A$7</f>
        <v>4 add state in table 0</v>
      </c>
      <c r="S2" s="253"/>
      <c r="T2" s="253"/>
      <c r="U2" s="253"/>
      <c r="V2" s="253"/>
      <c r="W2" s="253" t="str">
        <f>Table_4.0_Information!$A$8</f>
        <v>5 add state in table 0</v>
      </c>
      <c r="X2" s="253"/>
      <c r="Y2" s="253"/>
      <c r="Z2" s="253"/>
      <c r="AA2" s="253"/>
      <c r="AB2" s="253" t="str">
        <f>Table_4.0_Information!$A$9</f>
        <v>6 add state in table 0</v>
      </c>
      <c r="AC2" s="253"/>
      <c r="AD2" s="253"/>
      <c r="AE2" s="253"/>
      <c r="AF2" s="253"/>
      <c r="AG2" s="253" t="str">
        <f>Table_4.0_Information!$A$10</f>
        <v>7 add state in table 0</v>
      </c>
      <c r="AH2" s="253"/>
      <c r="AI2" s="253"/>
      <c r="AJ2" s="253"/>
      <c r="AK2" s="253"/>
      <c r="AL2" s="253" t="str">
        <f>Table_4.0_Information!$A$11</f>
        <v>8 add state in table 0</v>
      </c>
      <c r="AM2" s="253"/>
      <c r="AN2" s="253"/>
      <c r="AO2" s="253"/>
      <c r="AP2" s="253"/>
      <c r="AQ2" s="253" t="str">
        <f>Table_4.0_Information!$A$12</f>
        <v>9 add state in table 0</v>
      </c>
      <c r="AR2" s="253"/>
      <c r="AS2" s="253"/>
      <c r="AT2" s="253"/>
      <c r="AU2" s="253"/>
      <c r="AV2" s="253" t="str">
        <f>Table_4.0_Information!$A$13</f>
        <v>10 add state in table 0</v>
      </c>
      <c r="AW2" s="253"/>
      <c r="AX2" s="253"/>
      <c r="AY2" s="253"/>
      <c r="AZ2" s="253"/>
      <c r="BA2" s="253" t="str">
        <f>Table_4.0_Information!$A$14</f>
        <v>11 add state in table 0</v>
      </c>
      <c r="BB2" s="253"/>
      <c r="BC2" s="253"/>
      <c r="BD2" s="253"/>
      <c r="BE2" s="253"/>
      <c r="BF2" s="253" t="str">
        <f>Table_4.0_Information!$A$15</f>
        <v>12 add state in table 0</v>
      </c>
      <c r="BG2" s="253"/>
      <c r="BH2" s="253"/>
      <c r="BI2" s="253"/>
      <c r="BJ2" s="253"/>
    </row>
    <row r="3" spans="1:62" s="52" customFormat="1" ht="14" customHeight="1">
      <c r="A3" s="258" t="s">
        <v>162</v>
      </c>
      <c r="B3" s="258"/>
      <c r="C3" s="254" t="s">
        <v>163</v>
      </c>
      <c r="D3" s="254"/>
      <c r="E3" s="254"/>
      <c r="F3" s="254"/>
      <c r="G3" s="254" t="s">
        <v>80</v>
      </c>
      <c r="H3" s="254" t="s">
        <v>163</v>
      </c>
      <c r="I3" s="254"/>
      <c r="J3" s="254"/>
      <c r="K3" s="254"/>
      <c r="L3" s="254" t="s">
        <v>80</v>
      </c>
      <c r="M3" s="254" t="s">
        <v>163</v>
      </c>
      <c r="N3" s="254"/>
      <c r="O3" s="254"/>
      <c r="P3" s="254"/>
      <c r="Q3" s="254" t="s">
        <v>80</v>
      </c>
      <c r="R3" s="254" t="s">
        <v>163</v>
      </c>
      <c r="S3" s="254"/>
      <c r="T3" s="254"/>
      <c r="U3" s="254"/>
      <c r="V3" s="254" t="s">
        <v>80</v>
      </c>
      <c r="W3" s="254" t="s">
        <v>163</v>
      </c>
      <c r="X3" s="254"/>
      <c r="Y3" s="254"/>
      <c r="Z3" s="254"/>
      <c r="AA3" s="254" t="s">
        <v>80</v>
      </c>
      <c r="AB3" s="254" t="s">
        <v>163</v>
      </c>
      <c r="AC3" s="254"/>
      <c r="AD3" s="254"/>
      <c r="AE3" s="254"/>
      <c r="AF3" s="254" t="s">
        <v>80</v>
      </c>
      <c r="AG3" s="254" t="s">
        <v>163</v>
      </c>
      <c r="AH3" s="254"/>
      <c r="AI3" s="254"/>
      <c r="AJ3" s="254"/>
      <c r="AK3" s="254" t="s">
        <v>80</v>
      </c>
      <c r="AL3" s="254" t="s">
        <v>163</v>
      </c>
      <c r="AM3" s="254"/>
      <c r="AN3" s="254"/>
      <c r="AO3" s="254"/>
      <c r="AP3" s="254" t="s">
        <v>80</v>
      </c>
      <c r="AQ3" s="254" t="s">
        <v>163</v>
      </c>
      <c r="AR3" s="254"/>
      <c r="AS3" s="254"/>
      <c r="AT3" s="254"/>
      <c r="AU3" s="254" t="s">
        <v>80</v>
      </c>
      <c r="AV3" s="254" t="s">
        <v>163</v>
      </c>
      <c r="AW3" s="254"/>
      <c r="AX3" s="254"/>
      <c r="AY3" s="254"/>
      <c r="AZ3" s="254" t="s">
        <v>80</v>
      </c>
      <c r="BA3" s="254" t="s">
        <v>163</v>
      </c>
      <c r="BB3" s="254"/>
      <c r="BC3" s="254"/>
      <c r="BD3" s="254"/>
      <c r="BE3" s="254" t="s">
        <v>80</v>
      </c>
      <c r="BF3" s="254" t="s">
        <v>163</v>
      </c>
      <c r="BG3" s="254"/>
      <c r="BH3" s="254"/>
      <c r="BI3" s="254"/>
      <c r="BJ3" s="254" t="s">
        <v>80</v>
      </c>
    </row>
    <row r="4" spans="1:62" s="52" customFormat="1" ht="14" customHeight="1">
      <c r="A4" s="258"/>
      <c r="B4" s="258"/>
      <c r="C4" s="53" t="s">
        <v>164</v>
      </c>
      <c r="D4" s="53" t="s">
        <v>165</v>
      </c>
      <c r="E4" s="53" t="s">
        <v>166</v>
      </c>
      <c r="F4" s="53" t="s">
        <v>167</v>
      </c>
      <c r="G4" s="254"/>
      <c r="H4" s="53" t="s">
        <v>164</v>
      </c>
      <c r="I4" s="53" t="s">
        <v>165</v>
      </c>
      <c r="J4" s="53" t="s">
        <v>166</v>
      </c>
      <c r="K4" s="53" t="s">
        <v>167</v>
      </c>
      <c r="L4" s="254"/>
      <c r="M4" s="53" t="s">
        <v>164</v>
      </c>
      <c r="N4" s="53" t="s">
        <v>165</v>
      </c>
      <c r="O4" s="53" t="s">
        <v>166</v>
      </c>
      <c r="P4" s="53" t="s">
        <v>167</v>
      </c>
      <c r="Q4" s="254"/>
      <c r="R4" s="53" t="s">
        <v>164</v>
      </c>
      <c r="S4" s="53" t="s">
        <v>165</v>
      </c>
      <c r="T4" s="53" t="s">
        <v>166</v>
      </c>
      <c r="U4" s="53" t="s">
        <v>167</v>
      </c>
      <c r="V4" s="254"/>
      <c r="W4" s="53" t="s">
        <v>164</v>
      </c>
      <c r="X4" s="53" t="s">
        <v>165</v>
      </c>
      <c r="Y4" s="53" t="s">
        <v>166</v>
      </c>
      <c r="Z4" s="53" t="s">
        <v>167</v>
      </c>
      <c r="AA4" s="254"/>
      <c r="AB4" s="53" t="s">
        <v>164</v>
      </c>
      <c r="AC4" s="53" t="s">
        <v>165</v>
      </c>
      <c r="AD4" s="53" t="s">
        <v>166</v>
      </c>
      <c r="AE4" s="53" t="s">
        <v>167</v>
      </c>
      <c r="AF4" s="254"/>
      <c r="AG4" s="53" t="s">
        <v>164</v>
      </c>
      <c r="AH4" s="53" t="s">
        <v>165</v>
      </c>
      <c r="AI4" s="53" t="s">
        <v>166</v>
      </c>
      <c r="AJ4" s="53" t="s">
        <v>167</v>
      </c>
      <c r="AK4" s="254"/>
      <c r="AL4" s="53" t="s">
        <v>164</v>
      </c>
      <c r="AM4" s="53" t="s">
        <v>165</v>
      </c>
      <c r="AN4" s="53" t="s">
        <v>166</v>
      </c>
      <c r="AO4" s="53" t="s">
        <v>167</v>
      </c>
      <c r="AP4" s="254"/>
      <c r="AQ4" s="53" t="s">
        <v>164</v>
      </c>
      <c r="AR4" s="53" t="s">
        <v>165</v>
      </c>
      <c r="AS4" s="53" t="s">
        <v>166</v>
      </c>
      <c r="AT4" s="53" t="s">
        <v>167</v>
      </c>
      <c r="AU4" s="254"/>
      <c r="AV4" s="53" t="s">
        <v>164</v>
      </c>
      <c r="AW4" s="53" t="s">
        <v>165</v>
      </c>
      <c r="AX4" s="53" t="s">
        <v>166</v>
      </c>
      <c r="AY4" s="53" t="s">
        <v>167</v>
      </c>
      <c r="AZ4" s="254"/>
      <c r="BA4" s="53" t="s">
        <v>164</v>
      </c>
      <c r="BB4" s="53" t="s">
        <v>165</v>
      </c>
      <c r="BC4" s="53" t="s">
        <v>166</v>
      </c>
      <c r="BD4" s="53" t="s">
        <v>167</v>
      </c>
      <c r="BE4" s="254"/>
      <c r="BF4" s="53" t="s">
        <v>164</v>
      </c>
      <c r="BG4" s="53" t="s">
        <v>165</v>
      </c>
      <c r="BH4" s="53" t="s">
        <v>166</v>
      </c>
      <c r="BI4" s="53" t="s">
        <v>167</v>
      </c>
      <c r="BJ4" s="254"/>
    </row>
    <row r="5" spans="1:62" s="52" customFormat="1" ht="14" customHeight="1">
      <c r="A5" s="54" t="s">
        <v>195</v>
      </c>
      <c r="B5" s="55" t="s">
        <v>162</v>
      </c>
      <c r="C5" s="56">
        <v>1659</v>
      </c>
      <c r="D5" s="56">
        <v>1906</v>
      </c>
      <c r="E5" s="56">
        <v>1912</v>
      </c>
      <c r="F5" s="56">
        <v>1857</v>
      </c>
      <c r="G5" s="56">
        <v>7334</v>
      </c>
      <c r="H5" s="56">
        <v>2540</v>
      </c>
      <c r="I5" s="56">
        <v>2910</v>
      </c>
      <c r="J5" s="56">
        <v>3313</v>
      </c>
      <c r="K5" s="56">
        <v>2875</v>
      </c>
      <c r="L5" s="56">
        <f>SUM(H5:K5)</f>
        <v>11638</v>
      </c>
      <c r="M5" s="56">
        <v>887</v>
      </c>
      <c r="N5" s="56">
        <v>987</v>
      </c>
      <c r="O5" s="56">
        <v>907</v>
      </c>
      <c r="P5" s="56">
        <v>950</v>
      </c>
      <c r="Q5" s="56">
        <v>3731</v>
      </c>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row>
    <row r="6" spans="1:62" s="52" customFormat="1" ht="14" customHeight="1">
      <c r="A6" s="54" t="s">
        <v>196</v>
      </c>
      <c r="B6" s="55" t="s">
        <v>162</v>
      </c>
      <c r="C6" s="56">
        <v>449</v>
      </c>
      <c r="D6" s="56">
        <v>438</v>
      </c>
      <c r="E6" s="56">
        <v>426</v>
      </c>
      <c r="F6" s="56">
        <v>439</v>
      </c>
      <c r="G6" s="56">
        <v>1752</v>
      </c>
      <c r="H6" s="56">
        <v>353</v>
      </c>
      <c r="I6" s="56">
        <v>420</v>
      </c>
      <c r="J6" s="56">
        <v>420</v>
      </c>
      <c r="K6" s="56">
        <v>367</v>
      </c>
      <c r="L6" s="56">
        <f t="shared" ref="L6:L8" si="0">SUM(H6:K6)</f>
        <v>1560</v>
      </c>
      <c r="M6" s="56">
        <v>255</v>
      </c>
      <c r="N6" s="56">
        <v>285</v>
      </c>
      <c r="O6" s="56">
        <v>236</v>
      </c>
      <c r="P6" s="56">
        <v>182</v>
      </c>
      <c r="Q6" s="56">
        <v>958</v>
      </c>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row>
    <row r="7" spans="1:62" s="52" customFormat="1" ht="29" customHeight="1">
      <c r="A7" s="57" t="s">
        <v>197</v>
      </c>
      <c r="B7" s="55" t="s">
        <v>162</v>
      </c>
      <c r="C7" s="56">
        <v>416</v>
      </c>
      <c r="D7" s="56">
        <v>395</v>
      </c>
      <c r="E7" s="56">
        <v>361</v>
      </c>
      <c r="F7" s="56">
        <v>386</v>
      </c>
      <c r="G7" s="56">
        <v>1558</v>
      </c>
      <c r="H7" s="56">
        <v>326</v>
      </c>
      <c r="I7" s="56">
        <v>392</v>
      </c>
      <c r="J7" s="56">
        <v>382</v>
      </c>
      <c r="K7" s="56">
        <v>340</v>
      </c>
      <c r="L7" s="56">
        <f t="shared" si="0"/>
        <v>1440</v>
      </c>
      <c r="M7" s="56">
        <v>238</v>
      </c>
      <c r="N7" s="56">
        <v>254</v>
      </c>
      <c r="O7" s="56">
        <v>222</v>
      </c>
      <c r="P7" s="56">
        <v>160</v>
      </c>
      <c r="Q7" s="56">
        <v>874</v>
      </c>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row>
    <row r="8" spans="1:62" s="52" customFormat="1" ht="29" customHeight="1">
      <c r="A8" s="57" t="s">
        <v>198</v>
      </c>
      <c r="B8" s="55" t="s">
        <v>162</v>
      </c>
      <c r="C8" s="56">
        <v>416</v>
      </c>
      <c r="D8" s="56">
        <v>395</v>
      </c>
      <c r="E8" s="56">
        <v>361</v>
      </c>
      <c r="F8" s="56">
        <v>386</v>
      </c>
      <c r="G8" s="56">
        <v>1558</v>
      </c>
      <c r="H8" s="56">
        <v>326</v>
      </c>
      <c r="I8" s="56">
        <v>392</v>
      </c>
      <c r="J8" s="56">
        <v>382</v>
      </c>
      <c r="K8" s="56">
        <v>340</v>
      </c>
      <c r="L8" s="56">
        <f t="shared" si="0"/>
        <v>1440</v>
      </c>
      <c r="M8" s="56">
        <v>238</v>
      </c>
      <c r="N8" s="56">
        <v>254</v>
      </c>
      <c r="O8" s="56">
        <v>222</v>
      </c>
      <c r="P8" s="56">
        <v>160</v>
      </c>
      <c r="Q8" s="56">
        <v>874</v>
      </c>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row>
  </sheetData>
  <mergeCells count="38">
    <mergeCell ref="BA3:BD3"/>
    <mergeCell ref="BE3:BE4"/>
    <mergeCell ref="BF3:BI3"/>
    <mergeCell ref="BJ3:BJ4"/>
    <mergeCell ref="AL3:AO3"/>
    <mergeCell ref="AP3:AP4"/>
    <mergeCell ref="AQ3:AT3"/>
    <mergeCell ref="AU3:AU4"/>
    <mergeCell ref="AV3:AY3"/>
    <mergeCell ref="AZ3:AZ4"/>
    <mergeCell ref="W3:Z3"/>
    <mergeCell ref="AA3:AA4"/>
    <mergeCell ref="AB3:AE3"/>
    <mergeCell ref="AF3:AF4"/>
    <mergeCell ref="AG3:AJ3"/>
    <mergeCell ref="AK3:AK4"/>
    <mergeCell ref="BF2:BJ2"/>
    <mergeCell ref="A3:B4"/>
    <mergeCell ref="C3:F3"/>
    <mergeCell ref="G3:G4"/>
    <mergeCell ref="H3:K3"/>
    <mergeCell ref="L3:L4"/>
    <mergeCell ref="M3:P3"/>
    <mergeCell ref="Q3:Q4"/>
    <mergeCell ref="R3:U3"/>
    <mergeCell ref="V3:V4"/>
    <mergeCell ref="AB2:AF2"/>
    <mergeCell ref="AG2:AK2"/>
    <mergeCell ref="AL2:AP2"/>
    <mergeCell ref="AQ2:AU2"/>
    <mergeCell ref="AV2:AZ2"/>
    <mergeCell ref="BA2:BE2"/>
    <mergeCell ref="A1:G1"/>
    <mergeCell ref="C2:G2"/>
    <mergeCell ref="H2:L2"/>
    <mergeCell ref="M2:Q2"/>
    <mergeCell ref="R2:V2"/>
    <mergeCell ref="W2:AA2"/>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5"/>
  <sheetViews>
    <sheetView workbookViewId="0">
      <selection activeCell="F1" sqref="F1"/>
    </sheetView>
  </sheetViews>
  <sheetFormatPr baseColWidth="10" defaultColWidth="11.5" defaultRowHeight="15"/>
  <sheetData>
    <row r="1" spans="1:6" ht="210">
      <c r="C1" s="54" t="s">
        <v>195</v>
      </c>
      <c r="D1" s="54" t="s">
        <v>196</v>
      </c>
      <c r="E1" s="57" t="s">
        <v>197</v>
      </c>
      <c r="F1" s="57" t="s">
        <v>198</v>
      </c>
    </row>
    <row r="2" spans="1:6">
      <c r="A2" s="81" t="s">
        <v>58</v>
      </c>
      <c r="B2" s="81" t="s">
        <v>164</v>
      </c>
      <c r="C2" s="56">
        <v>1659</v>
      </c>
      <c r="D2" s="56">
        <v>449</v>
      </c>
      <c r="E2" s="56">
        <v>416</v>
      </c>
      <c r="F2" s="56">
        <v>416</v>
      </c>
    </row>
    <row r="3" spans="1:6">
      <c r="A3" s="81"/>
      <c r="B3" s="81" t="s">
        <v>165</v>
      </c>
      <c r="C3" s="56">
        <v>1906</v>
      </c>
      <c r="D3" s="56">
        <v>438</v>
      </c>
      <c r="E3" s="56">
        <v>395</v>
      </c>
      <c r="F3" s="56">
        <v>395</v>
      </c>
    </row>
    <row r="4" spans="1:6">
      <c r="A4" s="82"/>
      <c r="B4" s="81" t="s">
        <v>166</v>
      </c>
      <c r="C4" s="56">
        <v>1912</v>
      </c>
      <c r="D4" s="56">
        <v>426</v>
      </c>
      <c r="E4" s="56">
        <v>361</v>
      </c>
      <c r="F4" s="56">
        <v>361</v>
      </c>
    </row>
    <row r="5" spans="1:6">
      <c r="A5" s="81"/>
      <c r="B5" s="81" t="s">
        <v>167</v>
      </c>
      <c r="C5" s="56">
        <v>1857</v>
      </c>
      <c r="D5" s="56">
        <v>439</v>
      </c>
      <c r="E5" s="56">
        <v>386</v>
      </c>
      <c r="F5" s="56">
        <v>386</v>
      </c>
    </row>
    <row r="6" spans="1:6">
      <c r="A6" s="81"/>
      <c r="B6" s="81"/>
    </row>
    <row r="7" spans="1:6">
      <c r="A7" s="81" t="s">
        <v>59</v>
      </c>
      <c r="B7" s="81" t="s">
        <v>164</v>
      </c>
      <c r="C7" s="56">
        <v>2540</v>
      </c>
      <c r="D7" s="56">
        <v>353</v>
      </c>
      <c r="E7" s="56">
        <v>326</v>
      </c>
      <c r="F7" s="56">
        <v>326</v>
      </c>
    </row>
    <row r="8" spans="1:6">
      <c r="A8" s="81"/>
      <c r="B8" s="81" t="s">
        <v>165</v>
      </c>
      <c r="C8" s="56">
        <v>2910</v>
      </c>
      <c r="D8" s="56">
        <v>420</v>
      </c>
      <c r="E8" s="56">
        <v>392</v>
      </c>
      <c r="F8" s="56">
        <v>392</v>
      </c>
    </row>
    <row r="9" spans="1:6">
      <c r="A9" s="82"/>
      <c r="B9" s="81" t="s">
        <v>166</v>
      </c>
      <c r="C9" s="56">
        <v>3313</v>
      </c>
      <c r="D9" s="56">
        <v>420</v>
      </c>
      <c r="E9" s="56">
        <v>382</v>
      </c>
      <c r="F9" s="56">
        <v>382</v>
      </c>
    </row>
    <row r="10" spans="1:6">
      <c r="A10" s="81"/>
      <c r="B10" s="81" t="s">
        <v>167</v>
      </c>
      <c r="C10" s="56">
        <v>2875</v>
      </c>
      <c r="D10" s="56">
        <v>367</v>
      </c>
      <c r="E10" s="56">
        <v>340</v>
      </c>
      <c r="F10" s="56">
        <v>340</v>
      </c>
    </row>
    <row r="11" spans="1:6">
      <c r="A11" s="20"/>
      <c r="B11" s="20"/>
    </row>
    <row r="12" spans="1:6">
      <c r="A12" s="81" t="s">
        <v>60</v>
      </c>
      <c r="B12" s="81" t="s">
        <v>164</v>
      </c>
      <c r="C12" s="56">
        <v>887</v>
      </c>
      <c r="D12" s="56">
        <v>255</v>
      </c>
      <c r="E12" s="56">
        <v>238</v>
      </c>
      <c r="F12" s="56">
        <v>238</v>
      </c>
    </row>
    <row r="13" spans="1:6">
      <c r="A13" s="81"/>
      <c r="B13" s="81" t="s">
        <v>165</v>
      </c>
      <c r="C13" s="56">
        <v>987</v>
      </c>
      <c r="D13" s="56">
        <v>285</v>
      </c>
      <c r="E13" s="56">
        <v>254</v>
      </c>
      <c r="F13" s="56">
        <v>254</v>
      </c>
    </row>
    <row r="14" spans="1:6">
      <c r="A14" s="82"/>
      <c r="B14" s="81" t="s">
        <v>166</v>
      </c>
      <c r="C14" s="56">
        <v>907</v>
      </c>
      <c r="D14" s="56">
        <v>236</v>
      </c>
      <c r="E14" s="56">
        <v>222</v>
      </c>
      <c r="F14" s="56">
        <v>222</v>
      </c>
    </row>
    <row r="15" spans="1:6">
      <c r="A15" s="81"/>
      <c r="B15" s="81" t="s">
        <v>167</v>
      </c>
      <c r="C15" s="56">
        <v>950</v>
      </c>
      <c r="D15" s="56">
        <v>182</v>
      </c>
      <c r="E15" s="56">
        <v>160</v>
      </c>
      <c r="F15" s="56">
        <v>160</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516F1-4DE0-460A-9696-A773995C160F}">
  <dimension ref="A1:I29"/>
  <sheetViews>
    <sheetView topLeftCell="A26" workbookViewId="0">
      <selection activeCell="M38" sqref="M38"/>
    </sheetView>
  </sheetViews>
  <sheetFormatPr baseColWidth="10" defaultColWidth="9.1640625" defaultRowHeight="15"/>
  <cols>
    <col min="1" max="1" width="15.33203125" style="20" customWidth="1"/>
    <col min="2" max="16384" width="9.1640625" style="20"/>
  </cols>
  <sheetData>
    <row r="1" spans="1:9">
      <c r="A1" s="292" t="s">
        <v>446</v>
      </c>
      <c r="B1" s="293"/>
      <c r="C1" s="293"/>
      <c r="D1" s="293"/>
      <c r="E1" s="293"/>
    </row>
    <row r="2" spans="1:9">
      <c r="A2" s="215"/>
      <c r="B2" s="215"/>
      <c r="C2" s="215"/>
      <c r="D2" s="215"/>
      <c r="E2" s="215"/>
    </row>
    <row r="3" spans="1:9">
      <c r="A3" s="294" t="s">
        <v>41</v>
      </c>
      <c r="B3" s="293"/>
      <c r="C3" s="293"/>
      <c r="D3" s="293"/>
      <c r="E3" s="293"/>
    </row>
    <row r="4" spans="1:9">
      <c r="A4" s="215"/>
      <c r="B4" s="215"/>
      <c r="C4" s="215"/>
      <c r="D4" s="215"/>
      <c r="E4" s="215"/>
    </row>
    <row r="5" spans="1:9">
      <c r="A5" s="254" t="s">
        <v>447</v>
      </c>
      <c r="B5" s="254"/>
      <c r="C5" s="254"/>
      <c r="D5" s="254"/>
      <c r="E5" s="254"/>
    </row>
    <row r="6" spans="1:9" ht="57">
      <c r="A6" s="58" t="s">
        <v>448</v>
      </c>
      <c r="B6" s="58" t="s">
        <v>0</v>
      </c>
      <c r="C6" s="58" t="s">
        <v>62</v>
      </c>
      <c r="D6" s="216" t="s">
        <v>449</v>
      </c>
      <c r="E6" s="216" t="s">
        <v>450</v>
      </c>
    </row>
    <row r="7" spans="1:9">
      <c r="A7" s="58">
        <v>1</v>
      </c>
      <c r="B7" s="217">
        <v>3216</v>
      </c>
      <c r="C7" s="218">
        <v>92.15</v>
      </c>
      <c r="D7" s="217">
        <v>3216</v>
      </c>
      <c r="E7" s="218">
        <v>92.15</v>
      </c>
      <c r="F7" s="20">
        <f>C7/100</f>
        <v>0.9215000000000001</v>
      </c>
      <c r="G7" s="20">
        <v>0.9215000000000001</v>
      </c>
    </row>
    <row r="8" spans="1:9">
      <c r="A8" s="58">
        <v>2</v>
      </c>
      <c r="B8" s="217">
        <v>232</v>
      </c>
      <c r="C8" s="218">
        <v>6.65</v>
      </c>
      <c r="D8" s="217">
        <v>3448</v>
      </c>
      <c r="E8" s="218">
        <v>98.8</v>
      </c>
      <c r="F8" s="20">
        <f t="shared" ref="F8:F11" si="0">C8/100</f>
        <v>6.6500000000000004E-2</v>
      </c>
      <c r="G8" s="20">
        <v>6.6500000000000004E-2</v>
      </c>
    </row>
    <row r="9" spans="1:9">
      <c r="A9" s="58">
        <v>3</v>
      </c>
      <c r="B9" s="217">
        <v>33</v>
      </c>
      <c r="C9" s="218">
        <v>0.95</v>
      </c>
      <c r="D9" s="217">
        <v>3481</v>
      </c>
      <c r="E9" s="218">
        <v>99.74</v>
      </c>
      <c r="F9" s="20">
        <f t="shared" si="0"/>
        <v>9.4999999999999998E-3</v>
      </c>
      <c r="G9" s="20">
        <v>9.4999999999999998E-3</v>
      </c>
    </row>
    <row r="10" spans="1:9">
      <c r="A10" s="58">
        <v>4</v>
      </c>
      <c r="B10" s="217">
        <v>7</v>
      </c>
      <c r="C10" s="218">
        <v>0.2</v>
      </c>
      <c r="D10" s="217">
        <v>3488</v>
      </c>
      <c r="E10" s="218">
        <v>99.94</v>
      </c>
      <c r="F10" s="20">
        <f t="shared" si="0"/>
        <v>2E-3</v>
      </c>
      <c r="G10" s="20">
        <v>2E-3</v>
      </c>
    </row>
    <row r="11" spans="1:9">
      <c r="A11" s="58">
        <v>5</v>
      </c>
      <c r="B11" s="217">
        <v>2</v>
      </c>
      <c r="C11" s="218">
        <v>0.06</v>
      </c>
      <c r="D11" s="217">
        <v>3490</v>
      </c>
      <c r="E11" s="218">
        <v>100</v>
      </c>
      <c r="F11" s="20">
        <f t="shared" si="0"/>
        <v>5.9999999999999995E-4</v>
      </c>
      <c r="G11" s="20">
        <v>5.9999999999999995E-4</v>
      </c>
    </row>
    <row r="12" spans="1:9">
      <c r="A12" s="215"/>
      <c r="B12" s="215"/>
      <c r="C12" s="215"/>
      <c r="D12" s="215"/>
      <c r="E12" s="215"/>
    </row>
    <row r="13" spans="1:9">
      <c r="A13" s="295" t="s">
        <v>451</v>
      </c>
      <c r="B13" s="293"/>
      <c r="C13" s="293"/>
      <c r="D13" s="293"/>
      <c r="E13" s="293"/>
    </row>
    <row r="14" spans="1:9">
      <c r="B14" s="37" t="s">
        <v>447</v>
      </c>
      <c r="C14" s="37"/>
      <c r="D14" s="37"/>
      <c r="E14" s="37"/>
      <c r="F14" s="37"/>
    </row>
    <row r="15" spans="1:9">
      <c r="B15" s="37">
        <v>1</v>
      </c>
      <c r="C15" s="37">
        <v>2</v>
      </c>
      <c r="D15" s="37">
        <v>3</v>
      </c>
      <c r="E15" s="37">
        <v>4</v>
      </c>
      <c r="F15" s="37">
        <v>5</v>
      </c>
      <c r="G15" s="37">
        <v>6</v>
      </c>
      <c r="H15" s="20" t="s">
        <v>80</v>
      </c>
      <c r="I15" s="20" t="s">
        <v>452</v>
      </c>
    </row>
    <row r="16" spans="1:9">
      <c r="A16" s="219" t="s">
        <v>342</v>
      </c>
      <c r="B16" s="217">
        <v>3216</v>
      </c>
      <c r="C16" s="217">
        <v>232</v>
      </c>
      <c r="D16" s="217">
        <v>33</v>
      </c>
      <c r="E16" s="217">
        <v>7</v>
      </c>
      <c r="F16" s="217">
        <v>2</v>
      </c>
      <c r="G16" s="217">
        <v>0</v>
      </c>
      <c r="H16" s="220">
        <f>SUM(B16:G16)</f>
        <v>3490</v>
      </c>
      <c r="I16" s="220">
        <f>H16-B16</f>
        <v>274</v>
      </c>
    </row>
    <row r="17" spans="1:9">
      <c r="A17" s="219" t="s">
        <v>365</v>
      </c>
      <c r="B17" s="221">
        <v>20083</v>
      </c>
      <c r="C17" s="221">
        <v>1126</v>
      </c>
      <c r="D17" s="221">
        <v>184</v>
      </c>
      <c r="E17" s="221">
        <v>41</v>
      </c>
      <c r="F17" s="221">
        <v>7</v>
      </c>
      <c r="G17" s="221">
        <v>0</v>
      </c>
      <c r="H17" s="220">
        <f>SUM(B17:G17)</f>
        <v>21441</v>
      </c>
      <c r="I17" s="220">
        <f>H17-B17</f>
        <v>1358</v>
      </c>
    </row>
    <row r="18" spans="1:9" ht="16" thickBot="1">
      <c r="A18" s="219" t="s">
        <v>343</v>
      </c>
      <c r="B18" s="209">
        <v>3811</v>
      </c>
      <c r="C18" s="209">
        <v>1600</v>
      </c>
      <c r="D18" s="209">
        <v>235</v>
      </c>
      <c r="E18" s="209">
        <v>55</v>
      </c>
      <c r="F18" s="209">
        <v>16</v>
      </c>
      <c r="G18" s="209">
        <v>2</v>
      </c>
      <c r="H18" s="220">
        <f>SUM(B18:G18)</f>
        <v>5719</v>
      </c>
      <c r="I18" s="220">
        <f>H18-B18</f>
        <v>1908</v>
      </c>
    </row>
    <row r="19" spans="1:9">
      <c r="A19" s="219" t="s">
        <v>344</v>
      </c>
      <c r="B19" s="217">
        <v>2026</v>
      </c>
      <c r="C19" s="217">
        <v>291</v>
      </c>
      <c r="D19" s="217">
        <v>35</v>
      </c>
      <c r="E19" s="217">
        <v>6</v>
      </c>
      <c r="F19" s="217">
        <v>1</v>
      </c>
      <c r="G19" s="217">
        <v>0</v>
      </c>
      <c r="H19" s="220">
        <f>SUM(B19:G19)</f>
        <v>2359</v>
      </c>
      <c r="I19" s="220">
        <f>H19-B19</f>
        <v>333</v>
      </c>
    </row>
    <row r="20" spans="1:9">
      <c r="A20" s="219" t="s">
        <v>366</v>
      </c>
      <c r="B20" s="217">
        <v>6603</v>
      </c>
      <c r="C20" s="217">
        <v>749</v>
      </c>
      <c r="D20" s="217">
        <v>123</v>
      </c>
      <c r="E20" s="217">
        <v>30</v>
      </c>
      <c r="F20" s="217">
        <v>4</v>
      </c>
      <c r="G20" s="217">
        <v>0</v>
      </c>
      <c r="H20" s="220">
        <f>SUM(B20:G20)</f>
        <v>7509</v>
      </c>
      <c r="I20" s="220">
        <f>H20-B20</f>
        <v>906</v>
      </c>
    </row>
    <row r="23" spans="1:9">
      <c r="B23" s="37" t="s">
        <v>453</v>
      </c>
      <c r="C23" s="37"/>
      <c r="D23" s="37"/>
      <c r="E23" s="37"/>
      <c r="F23" s="37"/>
    </row>
    <row r="24" spans="1:9">
      <c r="B24" s="37" t="s">
        <v>454</v>
      </c>
      <c r="C24" s="37" t="s">
        <v>455</v>
      </c>
      <c r="D24" s="37" t="s">
        <v>456</v>
      </c>
      <c r="E24" s="37" t="s">
        <v>457</v>
      </c>
      <c r="F24" s="37" t="s">
        <v>458</v>
      </c>
      <c r="G24" s="37" t="s">
        <v>497</v>
      </c>
      <c r="H24" s="20" t="s">
        <v>459</v>
      </c>
    </row>
    <row r="25" spans="1:9">
      <c r="A25" s="219" t="s">
        <v>58</v>
      </c>
      <c r="B25" s="222">
        <f>B16/H16</f>
        <v>0.92148997134670485</v>
      </c>
      <c r="C25" s="222">
        <f>C16/H16</f>
        <v>6.6475644699140399E-2</v>
      </c>
      <c r="D25" s="222">
        <f>D16/H16</f>
        <v>9.4555873925501431E-3</v>
      </c>
      <c r="E25" s="222">
        <f>E16/H16</f>
        <v>2.0057306590257878E-3</v>
      </c>
      <c r="F25" s="222">
        <f>F16/H16</f>
        <v>5.7306590257879652E-4</v>
      </c>
      <c r="G25" s="222">
        <f>G16/H16</f>
        <v>0</v>
      </c>
      <c r="H25" s="223">
        <f>1-B25</f>
        <v>7.851002865329515E-2</v>
      </c>
    </row>
    <row r="26" spans="1:9">
      <c r="A26" s="219" t="s">
        <v>59</v>
      </c>
      <c r="B26" s="222">
        <f>B17/H17</f>
        <v>0.93666340189356845</v>
      </c>
      <c r="C26" s="222">
        <f>C17/H17</f>
        <v>5.2516207266452127E-2</v>
      </c>
      <c r="D26" s="222">
        <f>D17/H17</f>
        <v>8.5816892868802765E-3</v>
      </c>
      <c r="E26" s="222">
        <f>E17/H17</f>
        <v>1.9122242432722354E-3</v>
      </c>
      <c r="F26" s="222">
        <f>F17/H17</f>
        <v>3.2647730982696702E-4</v>
      </c>
      <c r="G26" s="222">
        <f t="shared" ref="G26:G29" si="1">G17/H17</f>
        <v>0</v>
      </c>
      <c r="H26" s="223">
        <f t="shared" ref="H26:H29" si="2">1-B26</f>
        <v>6.3336598106431552E-2</v>
      </c>
    </row>
    <row r="27" spans="1:9">
      <c r="A27" s="219" t="s">
        <v>337</v>
      </c>
      <c r="B27" s="222">
        <f>B18/H18</f>
        <v>0.66637524042664797</v>
      </c>
      <c r="C27" s="222">
        <f>C18/H18</f>
        <v>0.27976919041790521</v>
      </c>
      <c r="D27" s="222">
        <f>D18/H18</f>
        <v>4.1091099842629833E-2</v>
      </c>
      <c r="E27" s="222">
        <f>E18/H18</f>
        <v>9.6170659206154929E-3</v>
      </c>
      <c r="F27" s="222">
        <f>F18/H18</f>
        <v>2.7976919041790521E-3</v>
      </c>
      <c r="G27" s="222">
        <f t="shared" si="1"/>
        <v>3.4971148802238151E-4</v>
      </c>
      <c r="H27" s="223">
        <f t="shared" si="2"/>
        <v>0.33362475957335203</v>
      </c>
    </row>
    <row r="28" spans="1:9">
      <c r="A28" s="219" t="s">
        <v>60</v>
      </c>
      <c r="B28" s="222">
        <f>B19/H19</f>
        <v>0.85883849088596864</v>
      </c>
      <c r="C28" s="222">
        <f>C19/H19</f>
        <v>0.12335735481136074</v>
      </c>
      <c r="D28" s="222">
        <f>D19/H19</f>
        <v>1.483679525222552E-2</v>
      </c>
      <c r="E28" s="222">
        <f>E19/H19</f>
        <v>2.5434506146672321E-3</v>
      </c>
      <c r="F28" s="222">
        <f>F19/H19</f>
        <v>4.2390843577787198E-4</v>
      </c>
      <c r="G28" s="222">
        <f t="shared" si="1"/>
        <v>0</v>
      </c>
      <c r="H28" s="223">
        <f t="shared" si="2"/>
        <v>0.14116150911403136</v>
      </c>
    </row>
    <row r="29" spans="1:9">
      <c r="A29" s="219" t="s">
        <v>338</v>
      </c>
      <c r="B29" s="222">
        <f>B20/H20</f>
        <v>0.87934478625649226</v>
      </c>
      <c r="C29" s="222">
        <f>C20/H20</f>
        <v>9.9746970302303908E-2</v>
      </c>
      <c r="D29" s="222">
        <f>D20/H20</f>
        <v>1.6380343587694766E-2</v>
      </c>
      <c r="E29" s="222">
        <f>E20/H20</f>
        <v>3.9952057530962841E-3</v>
      </c>
      <c r="F29" s="222">
        <f>F20/H20</f>
        <v>5.3269410041283788E-4</v>
      </c>
      <c r="G29" s="222">
        <f t="shared" si="1"/>
        <v>0</v>
      </c>
      <c r="H29" s="223">
        <f t="shared" si="2"/>
        <v>0.12065521374350774</v>
      </c>
    </row>
  </sheetData>
  <mergeCells count="4">
    <mergeCell ref="A1:E1"/>
    <mergeCell ref="A3:E3"/>
    <mergeCell ref="A5:E5"/>
    <mergeCell ref="A13:E13"/>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8713B-AAE8-42F1-B260-A9D4A0FC29A7}">
  <dimension ref="A1:AB173"/>
  <sheetViews>
    <sheetView tabSelected="1" topLeftCell="T87" zoomScale="81" zoomScaleNormal="55" workbookViewId="0">
      <selection activeCell="X86" sqref="X86"/>
    </sheetView>
  </sheetViews>
  <sheetFormatPr baseColWidth="10" defaultColWidth="10.6640625" defaultRowHeight="12" customHeight="1"/>
  <cols>
    <col min="1" max="1" width="47" style="215" customWidth="1"/>
    <col min="2" max="2" width="13.5" style="215" customWidth="1"/>
    <col min="3" max="3" width="12.5" style="215" customWidth="1"/>
    <col min="4" max="4" width="20" style="215" customWidth="1"/>
    <col min="5" max="5" width="15" style="215" customWidth="1"/>
    <col min="6" max="6" width="21" style="215" customWidth="1"/>
    <col min="7" max="7" width="25" style="215" customWidth="1"/>
    <col min="8" max="8" width="31" style="215" customWidth="1"/>
    <col min="9" max="9" width="9" style="215" customWidth="1"/>
    <col min="10" max="10" width="20" style="215" customWidth="1"/>
    <col min="11" max="11" width="10.33203125" style="215" customWidth="1"/>
    <col min="12" max="12" width="21" style="215" customWidth="1"/>
    <col min="13" max="13" width="22.6640625" style="215" customWidth="1"/>
    <col min="14" max="14" width="10.6640625" style="215" customWidth="1"/>
    <col min="15" max="15" width="5.33203125" style="215" customWidth="1"/>
    <col min="16" max="16" width="37.1640625" style="215" customWidth="1"/>
    <col min="17" max="17" width="15.1640625" style="215" customWidth="1"/>
    <col min="18" max="18" width="13.6640625" style="215" customWidth="1"/>
    <col min="19" max="19" width="16.6640625" style="215" customWidth="1"/>
    <col min="20" max="20" width="17.6640625" style="215" customWidth="1"/>
    <col min="21" max="21" width="22.1640625" style="215" customWidth="1"/>
    <col min="22" max="22" width="19.1640625" style="215" customWidth="1"/>
    <col min="23" max="23" width="19.33203125" style="215" customWidth="1"/>
    <col min="24" max="24" width="15.1640625" style="215" customWidth="1"/>
    <col min="25" max="25" width="21.6640625" style="215" customWidth="1"/>
    <col min="26" max="26" width="15.6640625" style="215" customWidth="1"/>
    <col min="27" max="27" width="21.5" style="215" customWidth="1"/>
    <col min="28" max="28" width="18" style="215" customWidth="1"/>
    <col min="29" max="16384" width="10.6640625" style="215"/>
  </cols>
  <sheetData>
    <row r="1" spans="1:28" ht="16">
      <c r="A1" s="224" t="s">
        <v>226</v>
      </c>
      <c r="B1" s="225"/>
      <c r="C1" s="225"/>
      <c r="D1" s="225"/>
      <c r="E1" s="225"/>
      <c r="F1" s="225"/>
      <c r="G1" s="225"/>
      <c r="H1" s="225"/>
      <c r="I1" s="225"/>
      <c r="J1" s="225"/>
      <c r="K1" s="225"/>
      <c r="L1" s="225"/>
      <c r="M1" s="225"/>
      <c r="P1" s="226" t="s">
        <v>309</v>
      </c>
    </row>
    <row r="2" spans="1:28" ht="26">
      <c r="B2" s="227" t="str">
        <f>[1]Table_4.0_Information!$A$4</f>
        <v>Colorado</v>
      </c>
      <c r="C2" s="227"/>
      <c r="D2" s="227"/>
      <c r="E2" s="227"/>
      <c r="F2" s="227"/>
      <c r="G2" s="227"/>
      <c r="H2" s="227"/>
      <c r="I2" s="227"/>
      <c r="J2" s="227"/>
      <c r="K2" s="227"/>
      <c r="L2" s="227"/>
      <c r="M2" s="227"/>
      <c r="P2" s="296" t="str">
        <f>[1]Table_4.0_Information!$A$4</f>
        <v>Colorado</v>
      </c>
      <c r="Q2" s="296"/>
      <c r="R2" s="296"/>
      <c r="S2" s="296"/>
      <c r="T2" s="296"/>
      <c r="U2" s="296"/>
      <c r="V2" s="296"/>
      <c r="W2" s="296"/>
      <c r="X2" s="296"/>
      <c r="Y2" s="296"/>
      <c r="Z2" s="296"/>
      <c r="AA2" s="296"/>
      <c r="AB2" s="296"/>
    </row>
    <row r="3" spans="1:28" ht="48">
      <c r="A3" s="58" t="s">
        <v>199</v>
      </c>
      <c r="B3" s="93" t="s">
        <v>200</v>
      </c>
      <c r="C3" s="93" t="s">
        <v>201</v>
      </c>
      <c r="D3" s="92" t="s">
        <v>212</v>
      </c>
      <c r="E3" s="93" t="s">
        <v>213</v>
      </c>
      <c r="F3" s="93" t="s">
        <v>204</v>
      </c>
      <c r="G3" s="93" t="s">
        <v>205</v>
      </c>
      <c r="H3" s="93" t="s">
        <v>206</v>
      </c>
      <c r="I3" s="93" t="s">
        <v>207</v>
      </c>
      <c r="J3" s="93" t="s">
        <v>208</v>
      </c>
      <c r="K3" s="93" t="s">
        <v>214</v>
      </c>
      <c r="L3" s="93" t="s">
        <v>215</v>
      </c>
      <c r="M3" s="93" t="s">
        <v>216</v>
      </c>
      <c r="P3" s="58"/>
      <c r="Q3" s="93" t="s">
        <v>200</v>
      </c>
      <c r="R3" s="93" t="s">
        <v>201</v>
      </c>
      <c r="S3" s="92" t="s">
        <v>304</v>
      </c>
      <c r="T3" s="93" t="s">
        <v>305</v>
      </c>
      <c r="U3" s="93" t="s">
        <v>204</v>
      </c>
      <c r="V3" s="93" t="s">
        <v>306</v>
      </c>
      <c r="W3" s="93" t="s">
        <v>307</v>
      </c>
      <c r="X3" s="93" t="s">
        <v>207</v>
      </c>
      <c r="Y3" s="93" t="s">
        <v>208</v>
      </c>
      <c r="Z3" s="93" t="s">
        <v>214</v>
      </c>
      <c r="AA3" s="93" t="s">
        <v>215</v>
      </c>
      <c r="AB3" s="93" t="s">
        <v>308</v>
      </c>
    </row>
    <row r="4" spans="1:28" ht="16">
      <c r="A4" s="228" t="s">
        <v>200</v>
      </c>
      <c r="B4" s="229">
        <v>275</v>
      </c>
      <c r="C4" s="230">
        <v>7</v>
      </c>
      <c r="D4" s="230">
        <v>5</v>
      </c>
      <c r="E4" s="230">
        <v>2</v>
      </c>
      <c r="F4" s="230">
        <v>5</v>
      </c>
      <c r="G4" s="230">
        <v>5</v>
      </c>
      <c r="H4" s="230"/>
      <c r="I4" s="230">
        <v>4</v>
      </c>
      <c r="J4" s="230">
        <v>6</v>
      </c>
      <c r="K4" s="230">
        <v>4</v>
      </c>
      <c r="L4" s="230">
        <v>1</v>
      </c>
      <c r="M4" s="230"/>
      <c r="N4" s="215">
        <f t="shared" ref="N4:N15" si="0">SUM(B4:M4)</f>
        <v>314</v>
      </c>
      <c r="P4" s="231" t="s">
        <v>200</v>
      </c>
      <c r="Q4" s="97">
        <f t="shared" ref="Q4:Q15" si="1">B4/275</f>
        <v>1</v>
      </c>
      <c r="R4" s="98">
        <f t="shared" ref="R4:R15" si="2">C4/1768</f>
        <v>3.9592760180995473E-3</v>
      </c>
      <c r="S4" s="98">
        <f t="shared" ref="S4:S15" si="3">D4/1016</f>
        <v>4.921259842519685E-3</v>
      </c>
      <c r="T4" s="96">
        <f t="shared" ref="T4:T15" si="4">E4/756</f>
        <v>2.6455026455026454E-3</v>
      </c>
      <c r="U4" s="98">
        <f t="shared" ref="U4:U15" si="5">F4/306</f>
        <v>1.6339869281045753E-2</v>
      </c>
      <c r="V4" s="98">
        <f t="shared" ref="V4:V15" si="6">G4/218</f>
        <v>2.2935779816513763E-2</v>
      </c>
      <c r="W4" s="98">
        <f t="shared" ref="W4:W15" si="7">H4/90</f>
        <v>0</v>
      </c>
      <c r="X4" s="98">
        <f t="shared" ref="X4:X15" si="8">I4/75</f>
        <v>5.3333333333333337E-2</v>
      </c>
      <c r="Y4" s="98">
        <f t="shared" ref="Y4:Y15" si="9">J4/889</f>
        <v>6.7491563554555678E-3</v>
      </c>
      <c r="Z4" s="98">
        <f t="shared" ref="Z4:Z15" si="10">K4/319</f>
        <v>1.2539184952978056E-2</v>
      </c>
      <c r="AA4" s="98">
        <f t="shared" ref="AA4:AA15" si="11">L4/15</f>
        <v>6.6666666666666666E-2</v>
      </c>
      <c r="AB4" s="98">
        <f t="shared" ref="AB4:AB15" si="12">M4/8</f>
        <v>0</v>
      </c>
    </row>
    <row r="5" spans="1:28" ht="16">
      <c r="A5" s="228" t="s">
        <v>201</v>
      </c>
      <c r="B5" s="230">
        <v>7</v>
      </c>
      <c r="C5" s="229">
        <v>1768</v>
      </c>
      <c r="D5" s="230">
        <v>1016</v>
      </c>
      <c r="E5" s="230">
        <v>756</v>
      </c>
      <c r="F5" s="230">
        <v>25</v>
      </c>
      <c r="G5" s="230">
        <v>24</v>
      </c>
      <c r="H5" s="230">
        <v>1</v>
      </c>
      <c r="I5" s="230">
        <v>6</v>
      </c>
      <c r="J5" s="230">
        <v>105</v>
      </c>
      <c r="K5" s="230">
        <v>10</v>
      </c>
      <c r="L5" s="230"/>
      <c r="M5" s="230"/>
      <c r="N5" s="215">
        <f t="shared" si="0"/>
        <v>3718</v>
      </c>
      <c r="P5" s="231" t="s">
        <v>201</v>
      </c>
      <c r="Q5" s="232">
        <f t="shared" si="1"/>
        <v>2.5454545454545455E-2</v>
      </c>
      <c r="R5" s="97">
        <f t="shared" si="2"/>
        <v>1</v>
      </c>
      <c r="S5" s="106">
        <f t="shared" si="3"/>
        <v>1</v>
      </c>
      <c r="T5" s="107">
        <f t="shared" si="4"/>
        <v>1</v>
      </c>
      <c r="U5" s="98">
        <f t="shared" si="5"/>
        <v>8.1699346405228759E-2</v>
      </c>
      <c r="V5" s="98">
        <f t="shared" si="6"/>
        <v>0.11009174311926606</v>
      </c>
      <c r="W5" s="98">
        <f t="shared" si="7"/>
        <v>1.1111111111111112E-2</v>
      </c>
      <c r="X5" s="98">
        <f t="shared" si="8"/>
        <v>0.08</v>
      </c>
      <c r="Y5" s="98">
        <f t="shared" si="9"/>
        <v>0.11811023622047244</v>
      </c>
      <c r="Z5" s="98">
        <f t="shared" si="10"/>
        <v>3.1347962382445138E-2</v>
      </c>
      <c r="AA5" s="98">
        <f t="shared" si="11"/>
        <v>0</v>
      </c>
      <c r="AB5" s="98">
        <f t="shared" si="12"/>
        <v>0</v>
      </c>
    </row>
    <row r="6" spans="1:28" ht="33.75" customHeight="1">
      <c r="A6" s="233" t="s">
        <v>212</v>
      </c>
      <c r="B6" s="230">
        <v>5</v>
      </c>
      <c r="C6" s="230">
        <v>1016</v>
      </c>
      <c r="D6" s="229">
        <v>1016</v>
      </c>
      <c r="E6" s="230">
        <v>4</v>
      </c>
      <c r="F6" s="230">
        <v>9</v>
      </c>
      <c r="G6" s="230">
        <v>8</v>
      </c>
      <c r="H6" s="230">
        <v>1</v>
      </c>
      <c r="I6" s="230">
        <v>2</v>
      </c>
      <c r="J6" s="230">
        <v>100</v>
      </c>
      <c r="K6" s="230">
        <v>10</v>
      </c>
      <c r="L6" s="230"/>
      <c r="M6" s="230"/>
      <c r="N6" s="215">
        <f t="shared" si="0"/>
        <v>2171</v>
      </c>
      <c r="P6" s="233" t="s">
        <v>304</v>
      </c>
      <c r="Q6" s="232">
        <f t="shared" si="1"/>
        <v>1.8181818181818181E-2</v>
      </c>
      <c r="R6" s="98">
        <f t="shared" si="2"/>
        <v>0.57466063348416285</v>
      </c>
      <c r="S6" s="97">
        <f t="shared" si="3"/>
        <v>1</v>
      </c>
      <c r="T6" s="96">
        <f t="shared" si="4"/>
        <v>5.2910052910052907E-3</v>
      </c>
      <c r="U6" s="98">
        <f t="shared" si="5"/>
        <v>2.9411764705882353E-2</v>
      </c>
      <c r="V6" s="98">
        <f t="shared" si="6"/>
        <v>3.669724770642202E-2</v>
      </c>
      <c r="W6" s="98">
        <f t="shared" si="7"/>
        <v>1.1111111111111112E-2</v>
      </c>
      <c r="X6" s="98">
        <f t="shared" si="8"/>
        <v>2.6666666666666668E-2</v>
      </c>
      <c r="Y6" s="98">
        <f t="shared" si="9"/>
        <v>0.1124859392575928</v>
      </c>
      <c r="Z6" s="98">
        <f t="shared" si="10"/>
        <v>3.1347962382445138E-2</v>
      </c>
      <c r="AA6" s="98">
        <f t="shared" si="11"/>
        <v>0</v>
      </c>
      <c r="AB6" s="98">
        <f t="shared" si="12"/>
        <v>0</v>
      </c>
    </row>
    <row r="7" spans="1:28" ht="16">
      <c r="A7" s="228" t="s">
        <v>213</v>
      </c>
      <c r="B7" s="230">
        <v>2</v>
      </c>
      <c r="C7" s="230">
        <v>756</v>
      </c>
      <c r="D7" s="230">
        <v>4</v>
      </c>
      <c r="E7" s="229">
        <v>756</v>
      </c>
      <c r="F7" s="230">
        <v>16</v>
      </c>
      <c r="G7" s="230">
        <v>16</v>
      </c>
      <c r="H7" s="230"/>
      <c r="I7" s="230">
        <v>4</v>
      </c>
      <c r="J7" s="230">
        <v>5</v>
      </c>
      <c r="K7" s="230"/>
      <c r="L7" s="230"/>
      <c r="M7" s="230"/>
      <c r="N7" s="215">
        <f t="shared" si="0"/>
        <v>1559</v>
      </c>
      <c r="P7" s="231" t="s">
        <v>305</v>
      </c>
      <c r="Q7" s="232">
        <f t="shared" si="1"/>
        <v>7.2727272727272727E-3</v>
      </c>
      <c r="R7" s="98">
        <f t="shared" si="2"/>
        <v>0.42760180995475111</v>
      </c>
      <c r="S7" s="98">
        <f t="shared" si="3"/>
        <v>3.937007874015748E-3</v>
      </c>
      <c r="T7" s="95">
        <f t="shared" si="4"/>
        <v>1</v>
      </c>
      <c r="U7" s="98">
        <f t="shared" si="5"/>
        <v>5.2287581699346407E-2</v>
      </c>
      <c r="V7" s="98">
        <f t="shared" si="6"/>
        <v>7.3394495412844041E-2</v>
      </c>
      <c r="W7" s="98">
        <f t="shared" si="7"/>
        <v>0</v>
      </c>
      <c r="X7" s="98">
        <f t="shared" si="8"/>
        <v>5.3333333333333337E-2</v>
      </c>
      <c r="Y7" s="98">
        <f t="shared" si="9"/>
        <v>5.6242969628796397E-3</v>
      </c>
      <c r="Z7" s="98">
        <f t="shared" si="10"/>
        <v>0</v>
      </c>
      <c r="AA7" s="98">
        <f t="shared" si="11"/>
        <v>0</v>
      </c>
      <c r="AB7" s="98">
        <f t="shared" si="12"/>
        <v>0</v>
      </c>
    </row>
    <row r="8" spans="1:28" ht="16">
      <c r="A8" s="228" t="s">
        <v>204</v>
      </c>
      <c r="B8" s="230">
        <v>5</v>
      </c>
      <c r="C8" s="230">
        <v>25</v>
      </c>
      <c r="D8" s="230">
        <v>9</v>
      </c>
      <c r="E8" s="230">
        <v>16</v>
      </c>
      <c r="F8" s="229">
        <v>306</v>
      </c>
      <c r="G8" s="230">
        <v>218</v>
      </c>
      <c r="H8" s="230">
        <v>90</v>
      </c>
      <c r="I8" s="230">
        <v>3</v>
      </c>
      <c r="J8" s="230">
        <v>5</v>
      </c>
      <c r="K8" s="230">
        <v>1</v>
      </c>
      <c r="L8" s="230">
        <v>1</v>
      </c>
      <c r="M8" s="230"/>
      <c r="N8" s="215">
        <f t="shared" si="0"/>
        <v>679</v>
      </c>
      <c r="P8" s="231" t="s">
        <v>204</v>
      </c>
      <c r="Q8" s="232">
        <f t="shared" si="1"/>
        <v>1.8181818181818181E-2</v>
      </c>
      <c r="R8" s="98">
        <f t="shared" si="2"/>
        <v>1.414027149321267E-2</v>
      </c>
      <c r="S8" s="98">
        <f t="shared" si="3"/>
        <v>8.8582677165354329E-3</v>
      </c>
      <c r="T8" s="96">
        <f t="shared" si="4"/>
        <v>2.1164021164021163E-2</v>
      </c>
      <c r="U8" s="97">
        <f t="shared" si="5"/>
        <v>1</v>
      </c>
      <c r="V8" s="106">
        <f t="shared" si="6"/>
        <v>1</v>
      </c>
      <c r="W8" s="106">
        <f t="shared" si="7"/>
        <v>1</v>
      </c>
      <c r="X8" s="98">
        <f t="shared" si="8"/>
        <v>0.04</v>
      </c>
      <c r="Y8" s="98">
        <f t="shared" si="9"/>
        <v>5.6242969628796397E-3</v>
      </c>
      <c r="Z8" s="98">
        <f t="shared" si="10"/>
        <v>3.134796238244514E-3</v>
      </c>
      <c r="AA8" s="98">
        <f t="shared" si="11"/>
        <v>6.6666666666666666E-2</v>
      </c>
      <c r="AB8" s="98">
        <f t="shared" si="12"/>
        <v>0</v>
      </c>
    </row>
    <row r="9" spans="1:28" ht="16">
      <c r="A9" s="228" t="s">
        <v>205</v>
      </c>
      <c r="B9" s="230">
        <v>5</v>
      </c>
      <c r="C9" s="230">
        <v>24</v>
      </c>
      <c r="D9" s="230">
        <v>8</v>
      </c>
      <c r="E9" s="230">
        <v>16</v>
      </c>
      <c r="F9" s="230">
        <v>218</v>
      </c>
      <c r="G9" s="229">
        <v>218</v>
      </c>
      <c r="H9" s="230">
        <v>2</v>
      </c>
      <c r="I9" s="230">
        <v>3</v>
      </c>
      <c r="J9" s="230">
        <v>4</v>
      </c>
      <c r="K9" s="230">
        <v>1</v>
      </c>
      <c r="L9" s="230"/>
      <c r="M9" s="230"/>
      <c r="N9" s="215">
        <f t="shared" si="0"/>
        <v>499</v>
      </c>
      <c r="P9" s="231" t="s">
        <v>306</v>
      </c>
      <c r="Q9" s="232">
        <f t="shared" si="1"/>
        <v>1.8181818181818181E-2</v>
      </c>
      <c r="R9" s="98">
        <f t="shared" si="2"/>
        <v>1.3574660633484163E-2</v>
      </c>
      <c r="S9" s="98">
        <f t="shared" si="3"/>
        <v>7.874015748031496E-3</v>
      </c>
      <c r="T9" s="96">
        <f t="shared" si="4"/>
        <v>2.1164021164021163E-2</v>
      </c>
      <c r="U9" s="98">
        <f t="shared" si="5"/>
        <v>0.71241830065359479</v>
      </c>
      <c r="V9" s="97">
        <f t="shared" si="6"/>
        <v>1</v>
      </c>
      <c r="W9" s="98">
        <f t="shared" si="7"/>
        <v>2.2222222222222223E-2</v>
      </c>
      <c r="X9" s="98">
        <f t="shared" si="8"/>
        <v>0.04</v>
      </c>
      <c r="Y9" s="98">
        <f t="shared" si="9"/>
        <v>4.4994375703037125E-3</v>
      </c>
      <c r="Z9" s="98">
        <f t="shared" si="10"/>
        <v>3.134796238244514E-3</v>
      </c>
      <c r="AA9" s="98">
        <f t="shared" si="11"/>
        <v>0</v>
      </c>
      <c r="AB9" s="98">
        <f t="shared" si="12"/>
        <v>0</v>
      </c>
    </row>
    <row r="10" spans="1:28" ht="16">
      <c r="A10" s="228" t="s">
        <v>206</v>
      </c>
      <c r="B10" s="230"/>
      <c r="C10" s="230">
        <v>1</v>
      </c>
      <c r="D10" s="230">
        <v>1</v>
      </c>
      <c r="E10" s="230"/>
      <c r="F10" s="230">
        <v>90</v>
      </c>
      <c r="G10" s="230">
        <v>2</v>
      </c>
      <c r="H10" s="229">
        <v>90</v>
      </c>
      <c r="I10" s="230"/>
      <c r="J10" s="230">
        <v>1</v>
      </c>
      <c r="K10" s="230"/>
      <c r="L10" s="230">
        <v>1</v>
      </c>
      <c r="M10" s="230"/>
      <c r="N10" s="215">
        <f t="shared" si="0"/>
        <v>186</v>
      </c>
      <c r="P10" s="231" t="s">
        <v>307</v>
      </c>
      <c r="Q10" s="232">
        <f t="shared" si="1"/>
        <v>0</v>
      </c>
      <c r="R10" s="98">
        <f t="shared" si="2"/>
        <v>5.6561085972850684E-4</v>
      </c>
      <c r="S10" s="98">
        <f t="shared" si="3"/>
        <v>9.8425196850393699E-4</v>
      </c>
      <c r="T10" s="96">
        <f t="shared" si="4"/>
        <v>0</v>
      </c>
      <c r="U10" s="98">
        <f t="shared" si="5"/>
        <v>0.29411764705882354</v>
      </c>
      <c r="V10" s="98">
        <f t="shared" si="6"/>
        <v>9.1743119266055051E-3</v>
      </c>
      <c r="W10" s="97">
        <f t="shared" si="7"/>
        <v>1</v>
      </c>
      <c r="X10" s="98">
        <f t="shared" si="8"/>
        <v>0</v>
      </c>
      <c r="Y10" s="98">
        <f t="shared" si="9"/>
        <v>1.1248593925759281E-3</v>
      </c>
      <c r="Z10" s="98">
        <f t="shared" si="10"/>
        <v>0</v>
      </c>
      <c r="AA10" s="98">
        <f t="shared" si="11"/>
        <v>6.6666666666666666E-2</v>
      </c>
      <c r="AB10" s="98">
        <f t="shared" si="12"/>
        <v>0</v>
      </c>
    </row>
    <row r="11" spans="1:28" ht="16">
      <c r="A11" s="228" t="s">
        <v>207</v>
      </c>
      <c r="B11" s="230">
        <v>4</v>
      </c>
      <c r="C11" s="230">
        <v>6</v>
      </c>
      <c r="D11" s="230">
        <v>2</v>
      </c>
      <c r="E11" s="230">
        <v>4</v>
      </c>
      <c r="F11" s="230">
        <v>3</v>
      </c>
      <c r="G11" s="230">
        <v>3</v>
      </c>
      <c r="H11" s="230"/>
      <c r="I11" s="229">
        <v>75</v>
      </c>
      <c r="J11" s="230">
        <v>2</v>
      </c>
      <c r="K11" s="230">
        <v>2</v>
      </c>
      <c r="L11" s="230"/>
      <c r="M11" s="230"/>
      <c r="N11" s="215">
        <f t="shared" si="0"/>
        <v>101</v>
      </c>
      <c r="P11" s="231" t="s">
        <v>207</v>
      </c>
      <c r="Q11" s="232">
        <f t="shared" si="1"/>
        <v>1.4545454545454545E-2</v>
      </c>
      <c r="R11" s="98">
        <f t="shared" si="2"/>
        <v>3.3936651583710408E-3</v>
      </c>
      <c r="S11" s="98">
        <f t="shared" si="3"/>
        <v>1.968503937007874E-3</v>
      </c>
      <c r="T11" s="96">
        <f t="shared" si="4"/>
        <v>5.2910052910052907E-3</v>
      </c>
      <c r="U11" s="98">
        <f t="shared" si="5"/>
        <v>9.8039215686274508E-3</v>
      </c>
      <c r="V11" s="98">
        <f t="shared" si="6"/>
        <v>1.3761467889908258E-2</v>
      </c>
      <c r="W11" s="98">
        <f t="shared" si="7"/>
        <v>0</v>
      </c>
      <c r="X11" s="97">
        <f t="shared" si="8"/>
        <v>1</v>
      </c>
      <c r="Y11" s="98">
        <f t="shared" si="9"/>
        <v>2.2497187851518562E-3</v>
      </c>
      <c r="Z11" s="98">
        <f t="shared" si="10"/>
        <v>6.269592476489028E-3</v>
      </c>
      <c r="AA11" s="98">
        <f t="shared" si="11"/>
        <v>0</v>
      </c>
      <c r="AB11" s="98">
        <f t="shared" si="12"/>
        <v>0</v>
      </c>
    </row>
    <row r="12" spans="1:28" ht="16">
      <c r="A12" s="228" t="s">
        <v>208</v>
      </c>
      <c r="B12" s="230">
        <v>6</v>
      </c>
      <c r="C12" s="230">
        <v>105</v>
      </c>
      <c r="D12" s="230">
        <v>100</v>
      </c>
      <c r="E12" s="230">
        <v>5</v>
      </c>
      <c r="F12" s="230">
        <v>5</v>
      </c>
      <c r="G12" s="230">
        <v>4</v>
      </c>
      <c r="H12" s="230">
        <v>1</v>
      </c>
      <c r="I12" s="230">
        <v>2</v>
      </c>
      <c r="J12" s="229">
        <v>889</v>
      </c>
      <c r="K12" s="230">
        <v>20</v>
      </c>
      <c r="L12" s="230"/>
      <c r="M12" s="230"/>
      <c r="N12" s="215">
        <f t="shared" si="0"/>
        <v>1137</v>
      </c>
      <c r="P12" s="231" t="s">
        <v>208</v>
      </c>
      <c r="Q12" s="232">
        <f t="shared" si="1"/>
        <v>2.181818181818182E-2</v>
      </c>
      <c r="R12" s="98">
        <f t="shared" si="2"/>
        <v>5.938914027149321E-2</v>
      </c>
      <c r="S12" s="98">
        <f t="shared" si="3"/>
        <v>9.8425196850393706E-2</v>
      </c>
      <c r="T12" s="96">
        <f t="shared" si="4"/>
        <v>6.6137566137566134E-3</v>
      </c>
      <c r="U12" s="98">
        <f t="shared" si="5"/>
        <v>1.6339869281045753E-2</v>
      </c>
      <c r="V12" s="98">
        <f t="shared" si="6"/>
        <v>1.834862385321101E-2</v>
      </c>
      <c r="W12" s="98">
        <f t="shared" si="7"/>
        <v>1.1111111111111112E-2</v>
      </c>
      <c r="X12" s="98">
        <f t="shared" si="8"/>
        <v>2.6666666666666668E-2</v>
      </c>
      <c r="Y12" s="97">
        <f t="shared" si="9"/>
        <v>1</v>
      </c>
      <c r="Z12" s="98">
        <f t="shared" si="10"/>
        <v>6.2695924764890276E-2</v>
      </c>
      <c r="AA12" s="98">
        <f t="shared" si="11"/>
        <v>0</v>
      </c>
      <c r="AB12" s="98">
        <f t="shared" si="12"/>
        <v>0</v>
      </c>
    </row>
    <row r="13" spans="1:28" ht="16">
      <c r="A13" s="228" t="s">
        <v>214</v>
      </c>
      <c r="B13" s="230">
        <v>4</v>
      </c>
      <c r="C13" s="230">
        <v>10</v>
      </c>
      <c r="D13" s="230">
        <v>10</v>
      </c>
      <c r="E13" s="230"/>
      <c r="F13" s="230">
        <v>1</v>
      </c>
      <c r="G13" s="230">
        <v>1</v>
      </c>
      <c r="H13" s="230"/>
      <c r="I13" s="230">
        <v>2</v>
      </c>
      <c r="J13" s="230">
        <v>20</v>
      </c>
      <c r="K13" s="229">
        <v>319</v>
      </c>
      <c r="L13" s="230"/>
      <c r="M13" s="230"/>
      <c r="N13" s="215">
        <f t="shared" si="0"/>
        <v>367</v>
      </c>
      <c r="P13" s="231" t="s">
        <v>214</v>
      </c>
      <c r="Q13" s="232">
        <f t="shared" si="1"/>
        <v>1.4545454545454545E-2</v>
      </c>
      <c r="R13" s="98">
        <f t="shared" si="2"/>
        <v>5.6561085972850677E-3</v>
      </c>
      <c r="S13" s="98">
        <f t="shared" si="3"/>
        <v>9.8425196850393699E-3</v>
      </c>
      <c r="T13" s="96">
        <f t="shared" si="4"/>
        <v>0</v>
      </c>
      <c r="U13" s="98">
        <f t="shared" si="5"/>
        <v>3.2679738562091504E-3</v>
      </c>
      <c r="V13" s="98">
        <f t="shared" si="6"/>
        <v>4.5871559633027525E-3</v>
      </c>
      <c r="W13" s="98">
        <f t="shared" si="7"/>
        <v>0</v>
      </c>
      <c r="X13" s="98">
        <f t="shared" si="8"/>
        <v>2.6666666666666668E-2</v>
      </c>
      <c r="Y13" s="98">
        <f t="shared" si="9"/>
        <v>2.2497187851518559E-2</v>
      </c>
      <c r="Z13" s="97">
        <f t="shared" si="10"/>
        <v>1</v>
      </c>
      <c r="AA13" s="98">
        <f t="shared" si="11"/>
        <v>0</v>
      </c>
      <c r="AB13" s="98">
        <f t="shared" si="12"/>
        <v>0</v>
      </c>
    </row>
    <row r="14" spans="1:28" ht="16">
      <c r="A14" s="228" t="s">
        <v>215</v>
      </c>
      <c r="B14" s="230">
        <v>1</v>
      </c>
      <c r="C14" s="230"/>
      <c r="D14" s="230"/>
      <c r="E14" s="230"/>
      <c r="F14" s="230">
        <v>1</v>
      </c>
      <c r="G14" s="230"/>
      <c r="H14" s="230">
        <v>1</v>
      </c>
      <c r="I14" s="230"/>
      <c r="J14" s="230"/>
      <c r="K14" s="230"/>
      <c r="L14" s="229">
        <v>15</v>
      </c>
      <c r="M14" s="230"/>
      <c r="N14" s="215">
        <f t="shared" si="0"/>
        <v>18</v>
      </c>
      <c r="P14" s="231" t="s">
        <v>215</v>
      </c>
      <c r="Q14" s="232">
        <f t="shared" si="1"/>
        <v>3.6363636363636364E-3</v>
      </c>
      <c r="R14" s="98">
        <f t="shared" si="2"/>
        <v>0</v>
      </c>
      <c r="S14" s="98">
        <f t="shared" si="3"/>
        <v>0</v>
      </c>
      <c r="T14" s="96">
        <f t="shared" si="4"/>
        <v>0</v>
      </c>
      <c r="U14" s="98">
        <f t="shared" si="5"/>
        <v>3.2679738562091504E-3</v>
      </c>
      <c r="V14" s="98">
        <f t="shared" si="6"/>
        <v>0</v>
      </c>
      <c r="W14" s="98">
        <f t="shared" si="7"/>
        <v>1.1111111111111112E-2</v>
      </c>
      <c r="X14" s="98">
        <f t="shared" si="8"/>
        <v>0</v>
      </c>
      <c r="Y14" s="98">
        <f t="shared" si="9"/>
        <v>0</v>
      </c>
      <c r="Z14" s="98">
        <f t="shared" si="10"/>
        <v>0</v>
      </c>
      <c r="AA14" s="97">
        <f t="shared" si="11"/>
        <v>1</v>
      </c>
      <c r="AB14" s="98">
        <f t="shared" si="12"/>
        <v>0</v>
      </c>
    </row>
    <row r="15" spans="1:28" ht="33" thickBot="1">
      <c r="A15" s="228" t="s">
        <v>216</v>
      </c>
      <c r="B15" s="230"/>
      <c r="C15" s="230"/>
      <c r="D15" s="230"/>
      <c r="E15" s="234"/>
      <c r="F15" s="230"/>
      <c r="G15" s="230"/>
      <c r="H15" s="230"/>
      <c r="I15" s="230"/>
      <c r="J15" s="230"/>
      <c r="K15" s="230"/>
      <c r="L15" s="230"/>
      <c r="M15" s="229">
        <v>8</v>
      </c>
      <c r="N15" s="215">
        <f t="shared" si="0"/>
        <v>8</v>
      </c>
      <c r="P15" s="231" t="s">
        <v>308</v>
      </c>
      <c r="Q15" s="235">
        <f t="shared" si="1"/>
        <v>0</v>
      </c>
      <c r="R15" s="101">
        <f t="shared" si="2"/>
        <v>0</v>
      </c>
      <c r="S15" s="101">
        <f t="shared" si="3"/>
        <v>0</v>
      </c>
      <c r="T15" s="103">
        <f t="shared" si="4"/>
        <v>0</v>
      </c>
      <c r="U15" s="101">
        <f t="shared" si="5"/>
        <v>0</v>
      </c>
      <c r="V15" s="101">
        <f t="shared" si="6"/>
        <v>0</v>
      </c>
      <c r="W15" s="101">
        <f t="shared" si="7"/>
        <v>0</v>
      </c>
      <c r="X15" s="101">
        <f t="shared" si="8"/>
        <v>0</v>
      </c>
      <c r="Y15" s="101">
        <f t="shared" si="9"/>
        <v>0</v>
      </c>
      <c r="Z15" s="101">
        <f t="shared" si="10"/>
        <v>0</v>
      </c>
      <c r="AA15" s="101">
        <f t="shared" si="11"/>
        <v>0</v>
      </c>
      <c r="AB15" s="102">
        <f t="shared" si="12"/>
        <v>1</v>
      </c>
    </row>
    <row r="16" spans="1:28" ht="15">
      <c r="A16" s="236"/>
      <c r="B16" s="237">
        <f t="shared" ref="B16:M16" si="13">SUM(B4:B15)</f>
        <v>314</v>
      </c>
      <c r="C16" s="237">
        <f t="shared" si="13"/>
        <v>3718</v>
      </c>
      <c r="D16" s="237">
        <f t="shared" si="13"/>
        <v>2171</v>
      </c>
      <c r="E16" s="237">
        <f t="shared" si="13"/>
        <v>1559</v>
      </c>
      <c r="F16" s="237">
        <f t="shared" si="13"/>
        <v>679</v>
      </c>
      <c r="G16" s="237">
        <f t="shared" si="13"/>
        <v>499</v>
      </c>
      <c r="H16" s="237">
        <f t="shared" si="13"/>
        <v>186</v>
      </c>
      <c r="I16" s="237">
        <f t="shared" si="13"/>
        <v>101</v>
      </c>
      <c r="J16" s="237">
        <f t="shared" si="13"/>
        <v>1137</v>
      </c>
      <c r="K16" s="237">
        <f t="shared" si="13"/>
        <v>367</v>
      </c>
      <c r="L16" s="237">
        <f t="shared" si="13"/>
        <v>18</v>
      </c>
      <c r="M16" s="237">
        <f t="shared" si="13"/>
        <v>8</v>
      </c>
      <c r="P16" s="236" t="s">
        <v>460</v>
      </c>
      <c r="Q16" s="238">
        <f>SUM(Q5:Q15)</f>
        <v>0.14181818181818182</v>
      </c>
      <c r="R16" s="238">
        <f>SUM(R4,R6:R15)</f>
        <v>1.1029411764705881</v>
      </c>
      <c r="S16" s="238">
        <f>SUM(S4:S5,S7:S15)</f>
        <v>1.1368110236220472</v>
      </c>
      <c r="T16" s="238">
        <f>SUM(T4:T6,T8:T15)</f>
        <v>1.0621693121693121</v>
      </c>
      <c r="U16" s="238">
        <f>SUM(U4:U7,U9:U15)</f>
        <v>1.218954248366013</v>
      </c>
      <c r="V16" s="238">
        <f>SUM(V4:V8,V10:V15)</f>
        <v>1.2889908256880733</v>
      </c>
      <c r="W16" s="238">
        <f>SUM(W4:W9,W11:W15)</f>
        <v>1.0666666666666664</v>
      </c>
      <c r="X16" s="238">
        <f>SUM(X4:X10,X12:X15)</f>
        <v>0.34666666666666668</v>
      </c>
      <c r="Y16" s="238">
        <f>SUM(Y4:Y11,Y13:Y15)</f>
        <v>0.27896512935883011</v>
      </c>
      <c r="Z16" s="238">
        <f>SUM(Z4:Z12,Z14:Z15)</f>
        <v>0.15047021943573669</v>
      </c>
      <c r="AA16" s="238">
        <f>SUM(AA4:AA13,AA15)</f>
        <v>0.2</v>
      </c>
      <c r="AB16" s="238">
        <f>SUM(AB4:AB14)</f>
        <v>0</v>
      </c>
    </row>
    <row r="17" spans="1:28" ht="26">
      <c r="B17" s="227" t="str">
        <f>[1]Table_4.0_Information!$A$5</f>
        <v>Kentucky</v>
      </c>
      <c r="C17" s="227"/>
      <c r="D17" s="227"/>
      <c r="E17" s="227"/>
      <c r="F17" s="227"/>
      <c r="G17" s="227"/>
      <c r="H17" s="227"/>
      <c r="I17" s="227"/>
      <c r="J17" s="227"/>
      <c r="K17" s="227"/>
      <c r="L17" s="227"/>
      <c r="M17" s="227"/>
      <c r="P17" s="296" t="s">
        <v>59</v>
      </c>
      <c r="Q17" s="296"/>
      <c r="R17" s="296"/>
      <c r="S17" s="296"/>
      <c r="T17" s="296"/>
      <c r="U17" s="296"/>
      <c r="V17" s="296"/>
      <c r="W17" s="296"/>
      <c r="X17" s="296"/>
      <c r="Y17" s="296"/>
      <c r="Z17" s="296"/>
      <c r="AA17" s="296"/>
      <c r="AB17" s="296"/>
    </row>
    <row r="18" spans="1:28" ht="48">
      <c r="A18" s="58" t="s">
        <v>199</v>
      </c>
      <c r="B18" s="93" t="s">
        <v>200</v>
      </c>
      <c r="C18" s="93" t="s">
        <v>201</v>
      </c>
      <c r="D18" s="92" t="s">
        <v>212</v>
      </c>
      <c r="E18" s="93" t="s">
        <v>213</v>
      </c>
      <c r="F18" s="93" t="s">
        <v>204</v>
      </c>
      <c r="G18" s="93" t="s">
        <v>205</v>
      </c>
      <c r="H18" s="93" t="s">
        <v>206</v>
      </c>
      <c r="I18" s="93" t="s">
        <v>207</v>
      </c>
      <c r="J18" s="93" t="s">
        <v>208</v>
      </c>
      <c r="K18" s="93" t="s">
        <v>214</v>
      </c>
      <c r="L18" s="93" t="s">
        <v>215</v>
      </c>
      <c r="M18" s="93" t="s">
        <v>216</v>
      </c>
      <c r="P18" s="58"/>
      <c r="Q18" s="93" t="s">
        <v>200</v>
      </c>
      <c r="R18" s="93" t="s">
        <v>201</v>
      </c>
      <c r="S18" s="92" t="s">
        <v>304</v>
      </c>
      <c r="T18" s="93" t="s">
        <v>305</v>
      </c>
      <c r="U18" s="93" t="s">
        <v>204</v>
      </c>
      <c r="V18" s="93" t="s">
        <v>306</v>
      </c>
      <c r="W18" s="93" t="s">
        <v>307</v>
      </c>
      <c r="X18" s="93" t="s">
        <v>207</v>
      </c>
      <c r="Y18" s="93" t="s">
        <v>208</v>
      </c>
      <c r="Z18" s="93" t="s">
        <v>214</v>
      </c>
      <c r="AA18" s="93" t="s">
        <v>215</v>
      </c>
      <c r="AB18" s="93" t="s">
        <v>308</v>
      </c>
    </row>
    <row r="19" spans="1:28" ht="16">
      <c r="A19" s="228" t="s">
        <v>200</v>
      </c>
      <c r="B19" s="239">
        <v>637</v>
      </c>
      <c r="C19" s="240">
        <v>34</v>
      </c>
      <c r="D19" s="240">
        <v>20</v>
      </c>
      <c r="E19" s="240">
        <v>14</v>
      </c>
      <c r="F19" s="240">
        <v>37</v>
      </c>
      <c r="G19" s="240">
        <v>36</v>
      </c>
      <c r="H19" s="240" t="s">
        <v>255</v>
      </c>
      <c r="I19" s="240">
        <v>7</v>
      </c>
      <c r="J19" s="240">
        <v>28</v>
      </c>
      <c r="K19" s="240" t="s">
        <v>255</v>
      </c>
      <c r="L19" s="240" t="s">
        <v>255</v>
      </c>
      <c r="M19" s="240"/>
      <c r="N19" s="215">
        <f t="shared" ref="N19:N30" si="14">SUM(B19:M19)</f>
        <v>813</v>
      </c>
      <c r="P19" s="231" t="s">
        <v>200</v>
      </c>
      <c r="Q19" s="97">
        <f t="shared" ref="Q19:Q24" si="15">B19/637</f>
        <v>1</v>
      </c>
      <c r="R19" s="98">
        <f t="shared" ref="R19:R29" si="16">C19/16804</f>
        <v>2.0233277791002141E-3</v>
      </c>
      <c r="S19" s="98">
        <f t="shared" ref="S19:S29" si="17">D19/4341</f>
        <v>4.6072333563695004E-3</v>
      </c>
      <c r="T19" s="96">
        <f t="shared" ref="T19:T30" si="18">E19/12535</f>
        <v>1.1168727562824092E-3</v>
      </c>
      <c r="U19" s="98">
        <f t="shared" ref="U19:U27" si="19">F19/1659</f>
        <v>2.2302591922845089E-2</v>
      </c>
      <c r="V19" s="98">
        <f t="shared" ref="V19:V24" si="20">G19/1437</f>
        <v>2.5052192066805846E-2</v>
      </c>
      <c r="W19" s="98" t="s">
        <v>255</v>
      </c>
      <c r="X19" s="98">
        <f t="shared" ref="X19:X27" si="21">I19/426</f>
        <v>1.6431924882629109E-2</v>
      </c>
      <c r="Y19" s="98">
        <f t="shared" ref="Y19:Y30" si="22">J19/2259</f>
        <v>1.2394864984506419E-2</v>
      </c>
      <c r="Z19" s="98" t="s">
        <v>255</v>
      </c>
      <c r="AA19" s="98" t="s">
        <v>255</v>
      </c>
      <c r="AB19" s="98">
        <f>M19/46</f>
        <v>0</v>
      </c>
    </row>
    <row r="20" spans="1:28" ht="16">
      <c r="A20" s="228" t="s">
        <v>201</v>
      </c>
      <c r="B20" s="240">
        <v>34</v>
      </c>
      <c r="C20" s="239">
        <v>16804</v>
      </c>
      <c r="D20" s="240">
        <v>4341</v>
      </c>
      <c r="E20" s="240">
        <v>12535</v>
      </c>
      <c r="F20" s="240">
        <v>247</v>
      </c>
      <c r="G20" s="240">
        <v>247</v>
      </c>
      <c r="H20" s="240"/>
      <c r="I20" s="240">
        <v>58</v>
      </c>
      <c r="J20" s="240">
        <v>441</v>
      </c>
      <c r="K20" s="240">
        <v>24</v>
      </c>
      <c r="L20" s="240"/>
      <c r="M20" s="240" t="s">
        <v>255</v>
      </c>
      <c r="N20" s="215">
        <f t="shared" si="14"/>
        <v>34731</v>
      </c>
      <c r="P20" s="231" t="s">
        <v>201</v>
      </c>
      <c r="Q20" s="232">
        <f t="shared" si="15"/>
        <v>5.3375196232339092E-2</v>
      </c>
      <c r="R20" s="97">
        <f t="shared" si="16"/>
        <v>1</v>
      </c>
      <c r="S20" s="106">
        <f t="shared" si="17"/>
        <v>1</v>
      </c>
      <c r="T20" s="107">
        <f t="shared" si="18"/>
        <v>1</v>
      </c>
      <c r="U20" s="98">
        <f t="shared" si="19"/>
        <v>0.14888487040385776</v>
      </c>
      <c r="V20" s="98">
        <f t="shared" si="20"/>
        <v>0.17188587334725122</v>
      </c>
      <c r="W20" s="98">
        <f>H20/226</f>
        <v>0</v>
      </c>
      <c r="X20" s="98">
        <f t="shared" si="21"/>
        <v>0.13615023474178403</v>
      </c>
      <c r="Y20" s="98">
        <f t="shared" si="22"/>
        <v>0.19521912350597609</v>
      </c>
      <c r="Z20" s="98">
        <f>K20/552</f>
        <v>4.3478260869565216E-2</v>
      </c>
      <c r="AA20" s="98">
        <f>L20/28</f>
        <v>0</v>
      </c>
      <c r="AB20" s="98" t="s">
        <v>255</v>
      </c>
    </row>
    <row r="21" spans="1:28" ht="32">
      <c r="A21" s="233" t="s">
        <v>212</v>
      </c>
      <c r="B21" s="240">
        <v>20</v>
      </c>
      <c r="C21" s="240">
        <v>4341</v>
      </c>
      <c r="D21" s="239">
        <v>4341</v>
      </c>
      <c r="E21" s="240">
        <v>72</v>
      </c>
      <c r="F21" s="240">
        <v>84</v>
      </c>
      <c r="G21" s="240">
        <v>84</v>
      </c>
      <c r="H21" s="240"/>
      <c r="I21" s="240">
        <v>16</v>
      </c>
      <c r="J21" s="240">
        <v>340</v>
      </c>
      <c r="K21" s="240">
        <v>10</v>
      </c>
      <c r="L21" s="240"/>
      <c r="M21" s="240" t="s">
        <v>255</v>
      </c>
      <c r="N21" s="215">
        <f t="shared" si="14"/>
        <v>9308</v>
      </c>
      <c r="P21" s="233" t="s">
        <v>304</v>
      </c>
      <c r="Q21" s="232">
        <f t="shared" si="15"/>
        <v>3.1397174254317109E-2</v>
      </c>
      <c r="R21" s="98">
        <f t="shared" si="16"/>
        <v>0.25833134967864796</v>
      </c>
      <c r="S21" s="97">
        <f t="shared" si="17"/>
        <v>1</v>
      </c>
      <c r="T21" s="96">
        <f t="shared" si="18"/>
        <v>5.7439170323095329E-3</v>
      </c>
      <c r="U21" s="98">
        <f t="shared" si="19"/>
        <v>5.0632911392405063E-2</v>
      </c>
      <c r="V21" s="98">
        <f t="shared" si="20"/>
        <v>5.845511482254697E-2</v>
      </c>
      <c r="W21" s="98">
        <f>H21/226</f>
        <v>0</v>
      </c>
      <c r="X21" s="98">
        <f t="shared" si="21"/>
        <v>3.7558685446009391E-2</v>
      </c>
      <c r="Y21" s="98">
        <f t="shared" si="22"/>
        <v>0.15050907481186365</v>
      </c>
      <c r="Z21" s="98">
        <f>K21/552</f>
        <v>1.8115942028985508E-2</v>
      </c>
      <c r="AA21" s="98">
        <f>L21/28</f>
        <v>0</v>
      </c>
      <c r="AB21" s="98" t="s">
        <v>255</v>
      </c>
    </row>
    <row r="22" spans="1:28" ht="16">
      <c r="A22" s="228" t="s">
        <v>213</v>
      </c>
      <c r="B22" s="240">
        <v>14</v>
      </c>
      <c r="C22" s="240">
        <v>12535</v>
      </c>
      <c r="D22" s="240">
        <v>72</v>
      </c>
      <c r="E22" s="239">
        <v>12535</v>
      </c>
      <c r="F22" s="240">
        <v>163</v>
      </c>
      <c r="G22" s="240">
        <v>163</v>
      </c>
      <c r="H22" s="240"/>
      <c r="I22" s="240">
        <v>42</v>
      </c>
      <c r="J22" s="240">
        <v>101</v>
      </c>
      <c r="K22" s="240">
        <v>14</v>
      </c>
      <c r="L22" s="240"/>
      <c r="M22" s="240"/>
      <c r="N22" s="215">
        <f t="shared" si="14"/>
        <v>25639</v>
      </c>
      <c r="P22" s="231" t="s">
        <v>305</v>
      </c>
      <c r="Q22" s="232">
        <f t="shared" si="15"/>
        <v>2.197802197802198E-2</v>
      </c>
      <c r="R22" s="98">
        <f t="shared" si="16"/>
        <v>0.74595334444179962</v>
      </c>
      <c r="S22" s="98">
        <f t="shared" si="17"/>
        <v>1.6586040082930201E-2</v>
      </c>
      <c r="T22" s="95">
        <f t="shared" si="18"/>
        <v>1</v>
      </c>
      <c r="U22" s="98">
        <f t="shared" si="19"/>
        <v>9.8251959011452686E-2</v>
      </c>
      <c r="V22" s="98">
        <f t="shared" si="20"/>
        <v>0.11343075852470424</v>
      </c>
      <c r="W22" s="98">
        <f>H22/226</f>
        <v>0</v>
      </c>
      <c r="X22" s="98">
        <f t="shared" si="21"/>
        <v>9.8591549295774641E-2</v>
      </c>
      <c r="Y22" s="98">
        <f t="shared" si="22"/>
        <v>4.4710048694112436E-2</v>
      </c>
      <c r="Z22" s="98">
        <f>K22/552</f>
        <v>2.5362318840579712E-2</v>
      </c>
      <c r="AA22" s="98">
        <f>L22/28</f>
        <v>0</v>
      </c>
      <c r="AB22" s="98">
        <f>M22/46</f>
        <v>0</v>
      </c>
    </row>
    <row r="23" spans="1:28" ht="16">
      <c r="A23" s="228" t="s">
        <v>204</v>
      </c>
      <c r="B23" s="240">
        <v>37</v>
      </c>
      <c r="C23" s="240">
        <v>247</v>
      </c>
      <c r="D23" s="240">
        <v>84</v>
      </c>
      <c r="E23" s="240">
        <v>163</v>
      </c>
      <c r="F23" s="239">
        <v>1659</v>
      </c>
      <c r="G23" s="240">
        <v>1437</v>
      </c>
      <c r="H23" s="240">
        <v>226</v>
      </c>
      <c r="I23" s="240">
        <v>20</v>
      </c>
      <c r="J23" s="240">
        <v>60</v>
      </c>
      <c r="K23" s="240" t="s">
        <v>255</v>
      </c>
      <c r="L23" s="240" t="s">
        <v>255</v>
      </c>
      <c r="M23" s="240" t="s">
        <v>255</v>
      </c>
      <c r="N23" s="215">
        <f t="shared" si="14"/>
        <v>3933</v>
      </c>
      <c r="P23" s="231" t="s">
        <v>204</v>
      </c>
      <c r="Q23" s="232">
        <f t="shared" si="15"/>
        <v>5.8084772370486655E-2</v>
      </c>
      <c r="R23" s="98">
        <f t="shared" si="16"/>
        <v>1.4698881218757438E-2</v>
      </c>
      <c r="S23" s="98">
        <f t="shared" si="17"/>
        <v>1.9350380096751902E-2</v>
      </c>
      <c r="T23" s="96">
        <f t="shared" si="18"/>
        <v>1.3003589948145194E-2</v>
      </c>
      <c r="U23" s="97">
        <f t="shared" si="19"/>
        <v>1</v>
      </c>
      <c r="V23" s="106">
        <f t="shared" si="20"/>
        <v>1</v>
      </c>
      <c r="W23" s="106">
        <f>H23/226</f>
        <v>1</v>
      </c>
      <c r="X23" s="98">
        <f t="shared" si="21"/>
        <v>4.6948356807511735E-2</v>
      </c>
      <c r="Y23" s="98">
        <f t="shared" si="22"/>
        <v>2.6560424966799469E-2</v>
      </c>
      <c r="Z23" s="98" t="s">
        <v>255</v>
      </c>
      <c r="AA23" s="98" t="s">
        <v>255</v>
      </c>
      <c r="AB23" s="98" t="s">
        <v>255</v>
      </c>
    </row>
    <row r="24" spans="1:28" ht="16">
      <c r="A24" s="228" t="s">
        <v>205</v>
      </c>
      <c r="B24" s="240">
        <v>36</v>
      </c>
      <c r="C24" s="240">
        <v>247</v>
      </c>
      <c r="D24" s="240">
        <v>84</v>
      </c>
      <c r="E24" s="240">
        <v>163</v>
      </c>
      <c r="F24" s="240">
        <v>1437</v>
      </c>
      <c r="G24" s="239">
        <v>1437</v>
      </c>
      <c r="H24" s="240" t="s">
        <v>255</v>
      </c>
      <c r="I24" s="240">
        <v>20</v>
      </c>
      <c r="J24" s="240">
        <v>60</v>
      </c>
      <c r="K24" s="240" t="s">
        <v>255</v>
      </c>
      <c r="L24" s="240" t="s">
        <v>255</v>
      </c>
      <c r="M24" s="240" t="s">
        <v>255</v>
      </c>
      <c r="N24" s="215">
        <f t="shared" si="14"/>
        <v>3484</v>
      </c>
      <c r="P24" s="231" t="s">
        <v>306</v>
      </c>
      <c r="Q24" s="232">
        <f t="shared" si="15"/>
        <v>5.6514913657770803E-2</v>
      </c>
      <c r="R24" s="98">
        <f t="shared" si="16"/>
        <v>1.4698881218757438E-2</v>
      </c>
      <c r="S24" s="98">
        <f t="shared" si="17"/>
        <v>1.9350380096751902E-2</v>
      </c>
      <c r="T24" s="96">
        <f t="shared" si="18"/>
        <v>1.3003589948145194E-2</v>
      </c>
      <c r="U24" s="98">
        <f t="shared" si="19"/>
        <v>0.86618444846292952</v>
      </c>
      <c r="V24" s="97">
        <f t="shared" si="20"/>
        <v>1</v>
      </c>
      <c r="W24" s="98" t="s">
        <v>255</v>
      </c>
      <c r="X24" s="98">
        <f t="shared" si="21"/>
        <v>4.6948356807511735E-2</v>
      </c>
      <c r="Y24" s="98">
        <f t="shared" si="22"/>
        <v>2.6560424966799469E-2</v>
      </c>
      <c r="Z24" s="98" t="s">
        <v>255</v>
      </c>
      <c r="AA24" s="98" t="s">
        <v>255</v>
      </c>
      <c r="AB24" s="98" t="s">
        <v>255</v>
      </c>
    </row>
    <row r="25" spans="1:28" ht="16">
      <c r="A25" s="228" t="s">
        <v>206</v>
      </c>
      <c r="B25" s="240" t="s">
        <v>255</v>
      </c>
      <c r="C25" s="240"/>
      <c r="D25" s="240"/>
      <c r="E25" s="240"/>
      <c r="F25" s="240">
        <v>226</v>
      </c>
      <c r="G25" s="240" t="s">
        <v>255</v>
      </c>
      <c r="H25" s="239">
        <v>226</v>
      </c>
      <c r="I25" s="240"/>
      <c r="J25" s="240"/>
      <c r="K25" s="240"/>
      <c r="L25" s="240"/>
      <c r="M25" s="240"/>
      <c r="N25" s="215">
        <f t="shared" si="14"/>
        <v>452</v>
      </c>
      <c r="P25" s="231" t="s">
        <v>307</v>
      </c>
      <c r="Q25" s="232" t="s">
        <v>255</v>
      </c>
      <c r="R25" s="98">
        <f t="shared" si="16"/>
        <v>0</v>
      </c>
      <c r="S25" s="98">
        <f t="shared" si="17"/>
        <v>0</v>
      </c>
      <c r="T25" s="96">
        <f t="shared" si="18"/>
        <v>0</v>
      </c>
      <c r="U25" s="98">
        <f t="shared" si="19"/>
        <v>0.13622664255575648</v>
      </c>
      <c r="V25" s="98" t="s">
        <v>255</v>
      </c>
      <c r="W25" s="97">
        <f t="shared" ref="W25:W30" si="23">H25/226</f>
        <v>1</v>
      </c>
      <c r="X25" s="98">
        <f t="shared" si="21"/>
        <v>0</v>
      </c>
      <c r="Y25" s="98">
        <f t="shared" si="22"/>
        <v>0</v>
      </c>
      <c r="Z25" s="98">
        <f>K25/552</f>
        <v>0</v>
      </c>
      <c r="AA25" s="98">
        <f>L25/28</f>
        <v>0</v>
      </c>
      <c r="AB25" s="98">
        <f>M25/46</f>
        <v>0</v>
      </c>
    </row>
    <row r="26" spans="1:28" ht="16">
      <c r="A26" s="228" t="s">
        <v>207</v>
      </c>
      <c r="B26" s="240">
        <v>7</v>
      </c>
      <c r="C26" s="240">
        <v>58</v>
      </c>
      <c r="D26" s="240">
        <v>16</v>
      </c>
      <c r="E26" s="240">
        <v>42</v>
      </c>
      <c r="F26" s="240">
        <v>20</v>
      </c>
      <c r="G26" s="240">
        <v>20</v>
      </c>
      <c r="H26" s="240"/>
      <c r="I26" s="239">
        <v>248</v>
      </c>
      <c r="J26" s="240">
        <v>15</v>
      </c>
      <c r="K26" s="240" t="s">
        <v>255</v>
      </c>
      <c r="L26" s="240" t="s">
        <v>255</v>
      </c>
      <c r="M26" s="240"/>
      <c r="N26" s="215">
        <f t="shared" si="14"/>
        <v>426</v>
      </c>
      <c r="P26" s="231" t="s">
        <v>207</v>
      </c>
      <c r="Q26" s="232">
        <f>B26/637</f>
        <v>1.098901098901099E-2</v>
      </c>
      <c r="R26" s="98">
        <f t="shared" si="16"/>
        <v>3.4515591525827185E-3</v>
      </c>
      <c r="S26" s="98">
        <f t="shared" si="17"/>
        <v>3.6857866850956E-3</v>
      </c>
      <c r="T26" s="96">
        <f t="shared" si="18"/>
        <v>3.3506182688472276E-3</v>
      </c>
      <c r="U26" s="98">
        <f t="shared" si="19"/>
        <v>1.2055455093429777E-2</v>
      </c>
      <c r="V26" s="98">
        <f>G26/1437</f>
        <v>1.3917884481558803E-2</v>
      </c>
      <c r="W26" s="98">
        <f t="shared" si="23"/>
        <v>0</v>
      </c>
      <c r="X26" s="97">
        <f t="shared" si="21"/>
        <v>0.5821596244131455</v>
      </c>
      <c r="Y26" s="98">
        <f t="shared" si="22"/>
        <v>6.6401062416998674E-3</v>
      </c>
      <c r="Z26" s="98" t="s">
        <v>255</v>
      </c>
      <c r="AA26" s="98" t="s">
        <v>255</v>
      </c>
      <c r="AB26" s="98">
        <f>M26/46</f>
        <v>0</v>
      </c>
    </row>
    <row r="27" spans="1:28" ht="16">
      <c r="A27" s="228" t="s">
        <v>208</v>
      </c>
      <c r="B27" s="240">
        <v>28</v>
      </c>
      <c r="C27" s="240">
        <v>441</v>
      </c>
      <c r="D27" s="240">
        <v>340</v>
      </c>
      <c r="E27" s="240">
        <v>101</v>
      </c>
      <c r="F27" s="240">
        <v>60</v>
      </c>
      <c r="G27" s="240">
        <v>60</v>
      </c>
      <c r="H27" s="240"/>
      <c r="I27" s="240">
        <v>15</v>
      </c>
      <c r="J27" s="239">
        <v>2259</v>
      </c>
      <c r="K27" s="240">
        <v>30</v>
      </c>
      <c r="L27" s="240"/>
      <c r="M27" s="240">
        <v>5</v>
      </c>
      <c r="N27" s="215">
        <f t="shared" si="14"/>
        <v>3339</v>
      </c>
      <c r="P27" s="231" t="s">
        <v>208</v>
      </c>
      <c r="Q27" s="232">
        <f>B27/637</f>
        <v>4.3956043956043959E-2</v>
      </c>
      <c r="R27" s="98">
        <f t="shared" si="16"/>
        <v>2.6243751487741013E-2</v>
      </c>
      <c r="S27" s="98">
        <f t="shared" si="17"/>
        <v>7.8322967058281498E-2</v>
      </c>
      <c r="T27" s="96">
        <f t="shared" si="18"/>
        <v>8.0574391703230955E-3</v>
      </c>
      <c r="U27" s="98">
        <f t="shared" si="19"/>
        <v>3.6166365280289332E-2</v>
      </c>
      <c r="V27" s="98">
        <f>G27/1437</f>
        <v>4.1753653444676408E-2</v>
      </c>
      <c r="W27" s="98">
        <f t="shared" si="23"/>
        <v>0</v>
      </c>
      <c r="X27" s="98">
        <f t="shared" si="21"/>
        <v>3.5211267605633804E-2</v>
      </c>
      <c r="Y27" s="97">
        <f t="shared" si="22"/>
        <v>1</v>
      </c>
      <c r="Z27" s="98">
        <f>K27/552</f>
        <v>5.434782608695652E-2</v>
      </c>
      <c r="AA27" s="98">
        <f>L27/28</f>
        <v>0</v>
      </c>
      <c r="AB27" s="98">
        <f>M27/46</f>
        <v>0.10869565217391304</v>
      </c>
    </row>
    <row r="28" spans="1:28" ht="16">
      <c r="A28" s="228" t="s">
        <v>214</v>
      </c>
      <c r="B28" s="240" t="s">
        <v>255</v>
      </c>
      <c r="C28" s="240">
        <v>24</v>
      </c>
      <c r="D28" s="240">
        <v>10</v>
      </c>
      <c r="E28" s="240">
        <v>14</v>
      </c>
      <c r="F28" s="240" t="s">
        <v>255</v>
      </c>
      <c r="G28" s="240" t="s">
        <v>255</v>
      </c>
      <c r="H28" s="240"/>
      <c r="I28" s="240" t="s">
        <v>255</v>
      </c>
      <c r="J28" s="240">
        <v>30</v>
      </c>
      <c r="K28" s="239">
        <v>552</v>
      </c>
      <c r="L28" s="240"/>
      <c r="M28" s="240" t="s">
        <v>255</v>
      </c>
      <c r="N28" s="215">
        <f t="shared" si="14"/>
        <v>630</v>
      </c>
      <c r="P28" s="231" t="s">
        <v>214</v>
      </c>
      <c r="Q28" s="232" t="s">
        <v>255</v>
      </c>
      <c r="R28" s="98">
        <f t="shared" si="16"/>
        <v>1.4282313734825041E-3</v>
      </c>
      <c r="S28" s="98">
        <f t="shared" si="17"/>
        <v>2.3036166781847502E-3</v>
      </c>
      <c r="T28" s="96">
        <f t="shared" si="18"/>
        <v>1.1168727562824092E-3</v>
      </c>
      <c r="U28" s="98" t="s">
        <v>255</v>
      </c>
      <c r="V28" s="98" t="s">
        <v>255</v>
      </c>
      <c r="W28" s="98">
        <f t="shared" si="23"/>
        <v>0</v>
      </c>
      <c r="X28" s="98" t="s">
        <v>255</v>
      </c>
      <c r="Y28" s="98">
        <f t="shared" si="22"/>
        <v>1.3280212483399735E-2</v>
      </c>
      <c r="Z28" s="97">
        <f>K28/552</f>
        <v>1</v>
      </c>
      <c r="AA28" s="98">
        <f>L28/28</f>
        <v>0</v>
      </c>
      <c r="AB28" s="98" t="s">
        <v>255</v>
      </c>
    </row>
    <row r="29" spans="1:28" ht="16">
      <c r="A29" s="228" t="s">
        <v>215</v>
      </c>
      <c r="B29" s="240" t="s">
        <v>255</v>
      </c>
      <c r="C29" s="240"/>
      <c r="D29" s="240"/>
      <c r="E29" s="240"/>
      <c r="F29" s="240" t="s">
        <v>255</v>
      </c>
      <c r="G29" s="240" t="s">
        <v>255</v>
      </c>
      <c r="H29" s="240"/>
      <c r="I29" s="240" t="s">
        <v>255</v>
      </c>
      <c r="J29" s="240"/>
      <c r="K29" s="240"/>
      <c r="L29" s="239">
        <v>28</v>
      </c>
      <c r="M29" s="240"/>
      <c r="N29" s="215">
        <f t="shared" si="14"/>
        <v>28</v>
      </c>
      <c r="P29" s="231" t="s">
        <v>215</v>
      </c>
      <c r="Q29" s="232" t="s">
        <v>255</v>
      </c>
      <c r="R29" s="98">
        <f t="shared" si="16"/>
        <v>0</v>
      </c>
      <c r="S29" s="98">
        <f t="shared" si="17"/>
        <v>0</v>
      </c>
      <c r="T29" s="96">
        <f t="shared" si="18"/>
        <v>0</v>
      </c>
      <c r="U29" s="98" t="s">
        <v>255</v>
      </c>
      <c r="V29" s="98" t="s">
        <v>255</v>
      </c>
      <c r="W29" s="98">
        <f t="shared" si="23"/>
        <v>0</v>
      </c>
      <c r="X29" s="98" t="s">
        <v>255</v>
      </c>
      <c r="Y29" s="98">
        <f t="shared" si="22"/>
        <v>0</v>
      </c>
      <c r="Z29" s="98">
        <f>K29/552</f>
        <v>0</v>
      </c>
      <c r="AA29" s="97">
        <f>L29/28</f>
        <v>1</v>
      </c>
      <c r="AB29" s="98">
        <f>M29/46</f>
        <v>0</v>
      </c>
    </row>
    <row r="30" spans="1:28" ht="33" thickBot="1">
      <c r="A30" s="228" t="s">
        <v>216</v>
      </c>
      <c r="B30" s="240"/>
      <c r="C30" s="240" t="s">
        <v>255</v>
      </c>
      <c r="D30" s="240" t="s">
        <v>255</v>
      </c>
      <c r="E30" s="240"/>
      <c r="F30" s="240" t="s">
        <v>255</v>
      </c>
      <c r="G30" s="240" t="s">
        <v>255</v>
      </c>
      <c r="H30" s="240"/>
      <c r="I30" s="240"/>
      <c r="J30" s="240">
        <v>5</v>
      </c>
      <c r="K30" s="240" t="s">
        <v>255</v>
      </c>
      <c r="L30" s="240"/>
      <c r="M30" s="239">
        <v>46</v>
      </c>
      <c r="N30" s="215">
        <f t="shared" si="14"/>
        <v>51</v>
      </c>
      <c r="P30" s="231" t="s">
        <v>308</v>
      </c>
      <c r="Q30" s="235">
        <f>B30/637</f>
        <v>0</v>
      </c>
      <c r="R30" s="101" t="s">
        <v>255</v>
      </c>
      <c r="S30" s="101" t="s">
        <v>255</v>
      </c>
      <c r="T30" s="103">
        <f t="shared" si="18"/>
        <v>0</v>
      </c>
      <c r="U30" s="101" t="s">
        <v>255</v>
      </c>
      <c r="V30" s="101" t="s">
        <v>255</v>
      </c>
      <c r="W30" s="101">
        <f t="shared" si="23"/>
        <v>0</v>
      </c>
      <c r="X30" s="101">
        <f>I30/426</f>
        <v>0</v>
      </c>
      <c r="Y30" s="101">
        <f t="shared" si="22"/>
        <v>2.213368747233289E-3</v>
      </c>
      <c r="Z30" s="101" t="s">
        <v>255</v>
      </c>
      <c r="AA30" s="101">
        <f>L30/28</f>
        <v>0</v>
      </c>
      <c r="AB30" s="102">
        <f>M30/46</f>
        <v>1</v>
      </c>
    </row>
    <row r="31" spans="1:28" ht="15">
      <c r="A31" s="236"/>
      <c r="B31" s="241">
        <f t="shared" ref="B31:M31" si="24">SUM(B19:B30)</f>
        <v>813</v>
      </c>
      <c r="C31" s="241">
        <f t="shared" si="24"/>
        <v>34731</v>
      </c>
      <c r="D31" s="241">
        <f t="shared" si="24"/>
        <v>9308</v>
      </c>
      <c r="E31" s="241">
        <f t="shared" si="24"/>
        <v>25639</v>
      </c>
      <c r="F31" s="241">
        <f t="shared" si="24"/>
        <v>3933</v>
      </c>
      <c r="G31" s="241">
        <f t="shared" si="24"/>
        <v>3484</v>
      </c>
      <c r="H31" s="241">
        <f t="shared" si="24"/>
        <v>452</v>
      </c>
      <c r="I31" s="241">
        <f t="shared" si="24"/>
        <v>426</v>
      </c>
      <c r="J31" s="241">
        <f t="shared" si="24"/>
        <v>3339</v>
      </c>
      <c r="K31" s="241">
        <f t="shared" si="24"/>
        <v>630</v>
      </c>
      <c r="L31" s="241">
        <f t="shared" si="24"/>
        <v>28</v>
      </c>
      <c r="M31" s="241">
        <f t="shared" si="24"/>
        <v>51</v>
      </c>
      <c r="P31" s="236" t="s">
        <v>460</v>
      </c>
      <c r="Q31" s="238">
        <f>SUM(Q20:Q30)</f>
        <v>0.27629513343799056</v>
      </c>
      <c r="R31" s="238">
        <f>SUM(R21:R30)</f>
        <v>1.0648059985717686</v>
      </c>
      <c r="S31" s="238">
        <f>SUM(S19:S20,S22:S30)</f>
        <v>1.1442064040543654</v>
      </c>
      <c r="T31" s="238">
        <f>SUM(T19:T21,T23:T30)</f>
        <v>1.045392899880335</v>
      </c>
      <c r="U31" s="238">
        <f>SUM(U19:U22,U25:U30,U24)</f>
        <v>1.3707052441229657</v>
      </c>
      <c r="V31" s="238">
        <f>SUM(V19:V23,V25:V30)</f>
        <v>1.4244954766875435</v>
      </c>
      <c r="W31" s="238">
        <f>SUM(W19:W24,W26:W30)</f>
        <v>1</v>
      </c>
      <c r="X31" s="238">
        <f>SUM(X19:X25,X27:X30)</f>
        <v>0.41784037558685444</v>
      </c>
      <c r="Y31" s="238">
        <f>SUM(Y19:Y26,Y28:Y30)</f>
        <v>0.47808764940239035</v>
      </c>
      <c r="Z31" s="238">
        <f>SUM(Z19:Z27,Z29:Z30)</f>
        <v>0.14130434782608695</v>
      </c>
      <c r="AA31" s="238">
        <f>SUM(AA19:AA28,AA30)</f>
        <v>0</v>
      </c>
      <c r="AB31" s="238">
        <f>SUM(AB19:AB29)</f>
        <v>0.10869565217391304</v>
      </c>
    </row>
    <row r="32" spans="1:28" ht="26">
      <c r="B32" s="227" t="str">
        <f>[1]Table_4.0_Information!$A$6</f>
        <v>New Mexico</v>
      </c>
      <c r="C32" s="227"/>
      <c r="D32" s="227"/>
      <c r="E32" s="227"/>
      <c r="F32" s="227"/>
      <c r="G32" s="227"/>
      <c r="H32" s="227"/>
      <c r="I32" s="227"/>
      <c r="J32" s="227"/>
      <c r="K32" s="227"/>
      <c r="L32" s="227"/>
      <c r="M32" s="227"/>
      <c r="P32" s="296" t="s">
        <v>60</v>
      </c>
      <c r="Q32" s="296"/>
      <c r="R32" s="296"/>
      <c r="S32" s="296"/>
      <c r="T32" s="296"/>
      <c r="U32" s="296"/>
      <c r="V32" s="296"/>
      <c r="W32" s="296"/>
      <c r="X32" s="296"/>
      <c r="Y32" s="296"/>
      <c r="Z32" s="296"/>
      <c r="AA32" s="296"/>
      <c r="AB32" s="296"/>
    </row>
    <row r="33" spans="1:28" ht="48">
      <c r="A33" s="58" t="s">
        <v>199</v>
      </c>
      <c r="B33" s="93" t="s">
        <v>200</v>
      </c>
      <c r="C33" s="93" t="s">
        <v>201</v>
      </c>
      <c r="D33" s="92" t="s">
        <v>212</v>
      </c>
      <c r="E33" s="93" t="s">
        <v>213</v>
      </c>
      <c r="F33" s="93" t="s">
        <v>204</v>
      </c>
      <c r="G33" s="93" t="s">
        <v>205</v>
      </c>
      <c r="H33" s="93" t="s">
        <v>206</v>
      </c>
      <c r="I33" s="93" t="s">
        <v>207</v>
      </c>
      <c r="J33" s="93" t="s">
        <v>208</v>
      </c>
      <c r="K33" s="93" t="s">
        <v>214</v>
      </c>
      <c r="L33" s="93" t="s">
        <v>215</v>
      </c>
      <c r="M33" s="93" t="s">
        <v>216</v>
      </c>
      <c r="P33" s="58"/>
      <c r="Q33" s="93" t="s">
        <v>200</v>
      </c>
      <c r="R33" s="93" t="s">
        <v>201</v>
      </c>
      <c r="S33" s="92" t="s">
        <v>304</v>
      </c>
      <c r="T33" s="93" t="s">
        <v>305</v>
      </c>
      <c r="U33" s="93" t="s">
        <v>204</v>
      </c>
      <c r="V33" s="93" t="s">
        <v>306</v>
      </c>
      <c r="W33" s="93" t="s">
        <v>307</v>
      </c>
      <c r="X33" s="93" t="s">
        <v>207</v>
      </c>
      <c r="Y33" s="93" t="s">
        <v>208</v>
      </c>
      <c r="Z33" s="93" t="s">
        <v>214</v>
      </c>
      <c r="AA33" s="93" t="s">
        <v>215</v>
      </c>
      <c r="AB33" s="93" t="s">
        <v>308</v>
      </c>
    </row>
    <row r="34" spans="1:28" ht="16">
      <c r="A34" s="228" t="s">
        <v>200</v>
      </c>
      <c r="B34" s="239">
        <v>59</v>
      </c>
      <c r="C34" s="240">
        <v>8</v>
      </c>
      <c r="D34" s="240">
        <v>8</v>
      </c>
      <c r="E34" s="240"/>
      <c r="F34" s="240">
        <v>3</v>
      </c>
      <c r="G34" s="240">
        <v>3</v>
      </c>
      <c r="H34" s="240"/>
      <c r="I34" s="240"/>
      <c r="J34" s="240"/>
      <c r="K34" s="240"/>
      <c r="L34" s="240"/>
      <c r="M34" s="240"/>
      <c r="N34" s="215">
        <f t="shared" ref="N34:N45" si="25">SUM(B34:M34)</f>
        <v>81</v>
      </c>
      <c r="P34" s="231" t="s">
        <v>200</v>
      </c>
      <c r="Q34" s="97">
        <f t="shared" ref="Q34:Q45" si="26">B34/59</f>
        <v>1</v>
      </c>
      <c r="R34" s="98">
        <f t="shared" ref="R34:R45" si="27">C34/1423</f>
        <v>5.6219255094869993E-3</v>
      </c>
      <c r="S34" s="98">
        <f t="shared" ref="S34:S45" si="28">D34/777</f>
        <v>1.0296010296010296E-2</v>
      </c>
      <c r="T34" s="96">
        <f t="shared" ref="T34:T45" si="29">E34/657</f>
        <v>0</v>
      </c>
      <c r="U34" s="98">
        <f t="shared" ref="U34:U45" si="30">F34/240</f>
        <v>1.2500000000000001E-2</v>
      </c>
      <c r="V34" s="98">
        <f t="shared" ref="V34:V45" si="31">G34/208</f>
        <v>1.4423076923076924E-2</v>
      </c>
      <c r="W34" s="98">
        <f t="shared" ref="W34:W45" si="32">H34/33</f>
        <v>0</v>
      </c>
      <c r="X34" s="98">
        <f t="shared" ref="X34:X45" si="33">I34/48</f>
        <v>0</v>
      </c>
      <c r="Y34" s="98">
        <f t="shared" ref="Y34:Y45" si="34">J34/505</f>
        <v>0</v>
      </c>
      <c r="Z34" s="98">
        <f t="shared" ref="Z34:Z45" si="35">K34/204</f>
        <v>0</v>
      </c>
      <c r="AA34" s="98">
        <f t="shared" ref="AA34:AA45" si="36">L34/6</f>
        <v>0</v>
      </c>
      <c r="AB34" s="98">
        <f t="shared" ref="AB34:AB45" si="37">M34/4</f>
        <v>0</v>
      </c>
    </row>
    <row r="35" spans="1:28" ht="16">
      <c r="A35" s="228" t="s">
        <v>201</v>
      </c>
      <c r="B35" s="240">
        <v>8</v>
      </c>
      <c r="C35" s="239">
        <v>1423</v>
      </c>
      <c r="D35" s="240">
        <v>777</v>
      </c>
      <c r="E35" s="240">
        <v>657</v>
      </c>
      <c r="F35" s="240">
        <v>27</v>
      </c>
      <c r="G35" s="240">
        <v>27</v>
      </c>
      <c r="H35" s="240"/>
      <c r="I35" s="240">
        <v>10</v>
      </c>
      <c r="J35" s="240">
        <v>80</v>
      </c>
      <c r="K35" s="240">
        <v>17</v>
      </c>
      <c r="L35" s="240">
        <v>1</v>
      </c>
      <c r="M35" s="240"/>
      <c r="N35" s="215">
        <f t="shared" si="25"/>
        <v>3027</v>
      </c>
      <c r="P35" s="231" t="s">
        <v>201</v>
      </c>
      <c r="Q35" s="232">
        <f t="shared" si="26"/>
        <v>0.13559322033898305</v>
      </c>
      <c r="R35" s="97">
        <f t="shared" si="27"/>
        <v>1</v>
      </c>
      <c r="S35" s="106">
        <f t="shared" si="28"/>
        <v>1</v>
      </c>
      <c r="T35" s="107">
        <f t="shared" si="29"/>
        <v>1</v>
      </c>
      <c r="U35" s="98">
        <f t="shared" si="30"/>
        <v>0.1125</v>
      </c>
      <c r="V35" s="98">
        <f t="shared" si="31"/>
        <v>0.12980769230769232</v>
      </c>
      <c r="W35" s="98">
        <f t="shared" si="32"/>
        <v>0</v>
      </c>
      <c r="X35" s="98">
        <f t="shared" si="33"/>
        <v>0.20833333333333334</v>
      </c>
      <c r="Y35" s="98">
        <f t="shared" si="34"/>
        <v>0.15841584158415842</v>
      </c>
      <c r="Z35" s="98">
        <f t="shared" si="35"/>
        <v>8.3333333333333329E-2</v>
      </c>
      <c r="AA35" s="98">
        <f t="shared" si="36"/>
        <v>0.16666666666666666</v>
      </c>
      <c r="AB35" s="98">
        <f t="shared" si="37"/>
        <v>0</v>
      </c>
    </row>
    <row r="36" spans="1:28" ht="32">
      <c r="A36" s="233" t="s">
        <v>212</v>
      </c>
      <c r="B36" s="240">
        <v>8</v>
      </c>
      <c r="C36" s="240">
        <v>777</v>
      </c>
      <c r="D36" s="239">
        <v>777</v>
      </c>
      <c r="E36" s="240">
        <v>11</v>
      </c>
      <c r="F36" s="240">
        <v>10</v>
      </c>
      <c r="G36" s="240">
        <v>10</v>
      </c>
      <c r="H36" s="240"/>
      <c r="I36" s="240">
        <v>3</v>
      </c>
      <c r="J36" s="240">
        <v>74</v>
      </c>
      <c r="K36" s="240">
        <v>11</v>
      </c>
      <c r="L36" s="240"/>
      <c r="M36" s="240"/>
      <c r="N36" s="215">
        <f t="shared" si="25"/>
        <v>1681</v>
      </c>
      <c r="P36" s="233" t="s">
        <v>304</v>
      </c>
      <c r="Q36" s="232">
        <f t="shared" si="26"/>
        <v>0.13559322033898305</v>
      </c>
      <c r="R36" s="98">
        <f t="shared" si="27"/>
        <v>0.54602951510892483</v>
      </c>
      <c r="S36" s="97">
        <f t="shared" si="28"/>
        <v>1</v>
      </c>
      <c r="T36" s="96">
        <f t="shared" si="29"/>
        <v>1.6742770167427701E-2</v>
      </c>
      <c r="U36" s="98">
        <f t="shared" si="30"/>
        <v>4.1666666666666664E-2</v>
      </c>
      <c r="V36" s="98">
        <f t="shared" si="31"/>
        <v>4.807692307692308E-2</v>
      </c>
      <c r="W36" s="98">
        <f t="shared" si="32"/>
        <v>0</v>
      </c>
      <c r="X36" s="98">
        <f t="shared" si="33"/>
        <v>6.25E-2</v>
      </c>
      <c r="Y36" s="98">
        <f t="shared" si="34"/>
        <v>0.14653465346534653</v>
      </c>
      <c r="Z36" s="98">
        <f t="shared" si="35"/>
        <v>5.3921568627450983E-2</v>
      </c>
      <c r="AA36" s="98">
        <f t="shared" si="36"/>
        <v>0</v>
      </c>
      <c r="AB36" s="98">
        <f t="shared" si="37"/>
        <v>0</v>
      </c>
    </row>
    <row r="37" spans="1:28" ht="16">
      <c r="A37" s="228" t="s">
        <v>213</v>
      </c>
      <c r="B37" s="240"/>
      <c r="C37" s="240">
        <v>657</v>
      </c>
      <c r="D37" s="240">
        <v>11</v>
      </c>
      <c r="E37" s="239">
        <v>657</v>
      </c>
      <c r="F37" s="240">
        <v>17</v>
      </c>
      <c r="G37" s="240">
        <v>17</v>
      </c>
      <c r="H37" s="240"/>
      <c r="I37" s="240">
        <v>7</v>
      </c>
      <c r="J37" s="240">
        <v>6</v>
      </c>
      <c r="K37" s="240">
        <v>6</v>
      </c>
      <c r="L37" s="240">
        <v>1</v>
      </c>
      <c r="M37" s="240"/>
      <c r="N37" s="215">
        <f t="shared" si="25"/>
        <v>1379</v>
      </c>
      <c r="P37" s="231" t="s">
        <v>305</v>
      </c>
      <c r="Q37" s="232">
        <f t="shared" si="26"/>
        <v>0</v>
      </c>
      <c r="R37" s="98">
        <f t="shared" si="27"/>
        <v>0.4617006324666198</v>
      </c>
      <c r="S37" s="98">
        <f t="shared" si="28"/>
        <v>1.4157014157014158E-2</v>
      </c>
      <c r="T37" s="95">
        <f t="shared" si="29"/>
        <v>1</v>
      </c>
      <c r="U37" s="98">
        <f t="shared" si="30"/>
        <v>7.0833333333333331E-2</v>
      </c>
      <c r="V37" s="98">
        <f t="shared" si="31"/>
        <v>8.1730769230769232E-2</v>
      </c>
      <c r="W37" s="98">
        <f t="shared" si="32"/>
        <v>0</v>
      </c>
      <c r="X37" s="98">
        <f t="shared" si="33"/>
        <v>0.14583333333333334</v>
      </c>
      <c r="Y37" s="98">
        <f t="shared" si="34"/>
        <v>1.1881188118811881E-2</v>
      </c>
      <c r="Z37" s="98">
        <f t="shared" si="35"/>
        <v>2.9411764705882353E-2</v>
      </c>
      <c r="AA37" s="98">
        <f t="shared" si="36"/>
        <v>0.16666666666666666</v>
      </c>
      <c r="AB37" s="98">
        <f t="shared" si="37"/>
        <v>0</v>
      </c>
    </row>
    <row r="38" spans="1:28" ht="16">
      <c r="A38" s="228" t="s">
        <v>204</v>
      </c>
      <c r="B38" s="240">
        <v>3</v>
      </c>
      <c r="C38" s="240">
        <v>27</v>
      </c>
      <c r="D38" s="240">
        <v>10</v>
      </c>
      <c r="E38" s="240">
        <v>17</v>
      </c>
      <c r="F38" s="239">
        <v>240</v>
      </c>
      <c r="G38" s="240">
        <v>208</v>
      </c>
      <c r="H38" s="240">
        <v>33</v>
      </c>
      <c r="I38" s="240">
        <v>5</v>
      </c>
      <c r="J38" s="240">
        <v>6</v>
      </c>
      <c r="K38" s="240">
        <v>1</v>
      </c>
      <c r="L38" s="240"/>
      <c r="M38" s="240"/>
      <c r="N38" s="215">
        <f t="shared" si="25"/>
        <v>550</v>
      </c>
      <c r="P38" s="231" t="s">
        <v>204</v>
      </c>
      <c r="Q38" s="232">
        <f t="shared" si="26"/>
        <v>5.0847457627118647E-2</v>
      </c>
      <c r="R38" s="98">
        <f t="shared" si="27"/>
        <v>1.8973998594518624E-2</v>
      </c>
      <c r="S38" s="98">
        <f t="shared" si="28"/>
        <v>1.2870012870012869E-2</v>
      </c>
      <c r="T38" s="96">
        <f t="shared" si="29"/>
        <v>2.5875190258751901E-2</v>
      </c>
      <c r="U38" s="97">
        <f t="shared" si="30"/>
        <v>1</v>
      </c>
      <c r="V38" s="106">
        <f t="shared" si="31"/>
        <v>1</v>
      </c>
      <c r="W38" s="106">
        <f t="shared" si="32"/>
        <v>1</v>
      </c>
      <c r="X38" s="98">
        <f t="shared" si="33"/>
        <v>0.10416666666666667</v>
      </c>
      <c r="Y38" s="98">
        <f t="shared" si="34"/>
        <v>1.1881188118811881E-2</v>
      </c>
      <c r="Z38" s="98">
        <f t="shared" si="35"/>
        <v>4.9019607843137254E-3</v>
      </c>
      <c r="AA38" s="98">
        <f t="shared" si="36"/>
        <v>0</v>
      </c>
      <c r="AB38" s="98">
        <f t="shared" si="37"/>
        <v>0</v>
      </c>
    </row>
    <row r="39" spans="1:28" ht="16">
      <c r="A39" s="228" t="s">
        <v>205</v>
      </c>
      <c r="B39" s="240">
        <v>3</v>
      </c>
      <c r="C39" s="240">
        <v>27</v>
      </c>
      <c r="D39" s="240">
        <v>10</v>
      </c>
      <c r="E39" s="240">
        <v>17</v>
      </c>
      <c r="F39" s="240">
        <v>208</v>
      </c>
      <c r="G39" s="239">
        <v>208</v>
      </c>
      <c r="H39" s="240">
        <v>1</v>
      </c>
      <c r="I39" s="240">
        <v>5</v>
      </c>
      <c r="J39" s="240">
        <v>6</v>
      </c>
      <c r="K39" s="240">
        <v>1</v>
      </c>
      <c r="L39" s="240"/>
      <c r="M39" s="240"/>
      <c r="N39" s="215">
        <f t="shared" si="25"/>
        <v>486</v>
      </c>
      <c r="P39" s="231" t="s">
        <v>306</v>
      </c>
      <c r="Q39" s="232">
        <f t="shared" si="26"/>
        <v>5.0847457627118647E-2</v>
      </c>
      <c r="R39" s="98">
        <f t="shared" si="27"/>
        <v>1.8973998594518624E-2</v>
      </c>
      <c r="S39" s="98">
        <f t="shared" si="28"/>
        <v>1.2870012870012869E-2</v>
      </c>
      <c r="T39" s="96">
        <f t="shared" si="29"/>
        <v>2.5875190258751901E-2</v>
      </c>
      <c r="U39" s="98">
        <f t="shared" si="30"/>
        <v>0.8666666666666667</v>
      </c>
      <c r="V39" s="97">
        <f t="shared" si="31"/>
        <v>1</v>
      </c>
      <c r="W39" s="98">
        <f t="shared" si="32"/>
        <v>3.0303030303030304E-2</v>
      </c>
      <c r="X39" s="98">
        <f t="shared" si="33"/>
        <v>0.10416666666666667</v>
      </c>
      <c r="Y39" s="98">
        <f t="shared" si="34"/>
        <v>1.1881188118811881E-2</v>
      </c>
      <c r="Z39" s="98">
        <f t="shared" si="35"/>
        <v>4.9019607843137254E-3</v>
      </c>
      <c r="AA39" s="98">
        <f t="shared" si="36"/>
        <v>0</v>
      </c>
      <c r="AB39" s="98">
        <f t="shared" si="37"/>
        <v>0</v>
      </c>
    </row>
    <row r="40" spans="1:28" ht="16">
      <c r="A40" s="228" t="s">
        <v>206</v>
      </c>
      <c r="B40" s="240"/>
      <c r="C40" s="240"/>
      <c r="D40" s="240"/>
      <c r="E40" s="240"/>
      <c r="F40" s="240">
        <v>33</v>
      </c>
      <c r="G40" s="240">
        <v>1</v>
      </c>
      <c r="H40" s="239">
        <v>33</v>
      </c>
      <c r="I40" s="240"/>
      <c r="J40" s="240"/>
      <c r="K40" s="240"/>
      <c r="L40" s="240"/>
      <c r="M40" s="240"/>
      <c r="N40" s="215">
        <f t="shared" si="25"/>
        <v>67</v>
      </c>
      <c r="P40" s="231" t="s">
        <v>307</v>
      </c>
      <c r="Q40" s="232">
        <f t="shared" si="26"/>
        <v>0</v>
      </c>
      <c r="R40" s="98">
        <f t="shared" si="27"/>
        <v>0</v>
      </c>
      <c r="S40" s="98">
        <f t="shared" si="28"/>
        <v>0</v>
      </c>
      <c r="T40" s="96">
        <f t="shared" si="29"/>
        <v>0</v>
      </c>
      <c r="U40" s="98">
        <f t="shared" si="30"/>
        <v>0.13750000000000001</v>
      </c>
      <c r="V40" s="98">
        <f t="shared" si="31"/>
        <v>4.807692307692308E-3</v>
      </c>
      <c r="W40" s="97">
        <f t="shared" si="32"/>
        <v>1</v>
      </c>
      <c r="X40" s="98">
        <f t="shared" si="33"/>
        <v>0</v>
      </c>
      <c r="Y40" s="98">
        <f t="shared" si="34"/>
        <v>0</v>
      </c>
      <c r="Z40" s="98">
        <f t="shared" si="35"/>
        <v>0</v>
      </c>
      <c r="AA40" s="98">
        <f t="shared" si="36"/>
        <v>0</v>
      </c>
      <c r="AB40" s="98">
        <f t="shared" si="37"/>
        <v>0</v>
      </c>
    </row>
    <row r="41" spans="1:28" ht="16">
      <c r="A41" s="228" t="s">
        <v>207</v>
      </c>
      <c r="B41" s="240"/>
      <c r="C41" s="240">
        <v>10</v>
      </c>
      <c r="D41" s="240">
        <v>3</v>
      </c>
      <c r="E41" s="240">
        <v>7</v>
      </c>
      <c r="F41" s="240">
        <v>5</v>
      </c>
      <c r="G41" s="240">
        <v>5</v>
      </c>
      <c r="H41" s="240"/>
      <c r="I41" s="239">
        <v>48</v>
      </c>
      <c r="J41" s="240"/>
      <c r="K41" s="240">
        <v>3</v>
      </c>
      <c r="L41" s="240"/>
      <c r="M41" s="240"/>
      <c r="N41" s="215">
        <f t="shared" si="25"/>
        <v>81</v>
      </c>
      <c r="P41" s="231" t="s">
        <v>207</v>
      </c>
      <c r="Q41" s="232">
        <f t="shared" si="26"/>
        <v>0</v>
      </c>
      <c r="R41" s="98">
        <f t="shared" si="27"/>
        <v>7.0274068868587487E-3</v>
      </c>
      <c r="S41" s="98">
        <f t="shared" si="28"/>
        <v>3.8610038610038611E-3</v>
      </c>
      <c r="T41" s="96">
        <f t="shared" si="29"/>
        <v>1.06544901065449E-2</v>
      </c>
      <c r="U41" s="98">
        <f t="shared" si="30"/>
        <v>2.0833333333333332E-2</v>
      </c>
      <c r="V41" s="98">
        <f t="shared" si="31"/>
        <v>2.403846153846154E-2</v>
      </c>
      <c r="W41" s="98">
        <f t="shared" si="32"/>
        <v>0</v>
      </c>
      <c r="X41" s="97">
        <f t="shared" si="33"/>
        <v>1</v>
      </c>
      <c r="Y41" s="98">
        <f t="shared" si="34"/>
        <v>0</v>
      </c>
      <c r="Z41" s="98">
        <f t="shared" si="35"/>
        <v>1.4705882352941176E-2</v>
      </c>
      <c r="AA41" s="98">
        <f t="shared" si="36"/>
        <v>0</v>
      </c>
      <c r="AB41" s="98">
        <f t="shared" si="37"/>
        <v>0</v>
      </c>
    </row>
    <row r="42" spans="1:28" ht="16">
      <c r="A42" s="228" t="s">
        <v>208</v>
      </c>
      <c r="B42" s="240"/>
      <c r="C42" s="240">
        <v>80</v>
      </c>
      <c r="D42" s="240">
        <v>74</v>
      </c>
      <c r="E42" s="240">
        <v>6</v>
      </c>
      <c r="F42" s="240">
        <v>6</v>
      </c>
      <c r="G42" s="240">
        <v>6</v>
      </c>
      <c r="H42" s="240"/>
      <c r="I42" s="240"/>
      <c r="J42" s="239">
        <v>505</v>
      </c>
      <c r="K42" s="240">
        <v>11</v>
      </c>
      <c r="L42" s="240"/>
      <c r="M42" s="240"/>
      <c r="N42" s="215">
        <f t="shared" si="25"/>
        <v>688</v>
      </c>
      <c r="P42" s="231" t="s">
        <v>208</v>
      </c>
      <c r="Q42" s="232">
        <f t="shared" si="26"/>
        <v>0</v>
      </c>
      <c r="R42" s="98">
        <f t="shared" si="27"/>
        <v>5.621925509486999E-2</v>
      </c>
      <c r="S42" s="98">
        <f t="shared" si="28"/>
        <v>9.5238095238095233E-2</v>
      </c>
      <c r="T42" s="96">
        <f t="shared" si="29"/>
        <v>9.1324200913242004E-3</v>
      </c>
      <c r="U42" s="98">
        <f t="shared" si="30"/>
        <v>2.5000000000000001E-2</v>
      </c>
      <c r="V42" s="98">
        <f t="shared" si="31"/>
        <v>2.8846153846153848E-2</v>
      </c>
      <c r="W42" s="98">
        <f t="shared" si="32"/>
        <v>0</v>
      </c>
      <c r="X42" s="98">
        <f t="shared" si="33"/>
        <v>0</v>
      </c>
      <c r="Y42" s="97">
        <f t="shared" si="34"/>
        <v>1</v>
      </c>
      <c r="Z42" s="98">
        <f t="shared" si="35"/>
        <v>5.3921568627450983E-2</v>
      </c>
      <c r="AA42" s="98">
        <f t="shared" si="36"/>
        <v>0</v>
      </c>
      <c r="AB42" s="98">
        <f t="shared" si="37"/>
        <v>0</v>
      </c>
    </row>
    <row r="43" spans="1:28" ht="16">
      <c r="A43" s="228" t="s">
        <v>214</v>
      </c>
      <c r="B43" s="240"/>
      <c r="C43" s="240">
        <v>17</v>
      </c>
      <c r="D43" s="240">
        <v>11</v>
      </c>
      <c r="E43" s="240">
        <v>6</v>
      </c>
      <c r="F43" s="240">
        <v>1</v>
      </c>
      <c r="G43" s="240">
        <v>1</v>
      </c>
      <c r="H43" s="240"/>
      <c r="I43" s="240">
        <v>3</v>
      </c>
      <c r="J43" s="240">
        <v>11</v>
      </c>
      <c r="K43" s="239">
        <v>204</v>
      </c>
      <c r="L43" s="240"/>
      <c r="M43" s="240"/>
      <c r="N43" s="215">
        <f t="shared" si="25"/>
        <v>254</v>
      </c>
      <c r="P43" s="231" t="s">
        <v>214</v>
      </c>
      <c r="Q43" s="232">
        <f t="shared" si="26"/>
        <v>0</v>
      </c>
      <c r="R43" s="98">
        <f t="shared" si="27"/>
        <v>1.1946591707659873E-2</v>
      </c>
      <c r="S43" s="98">
        <f t="shared" si="28"/>
        <v>1.4157014157014158E-2</v>
      </c>
      <c r="T43" s="96">
        <f t="shared" si="29"/>
        <v>9.1324200913242004E-3</v>
      </c>
      <c r="U43" s="98">
        <f t="shared" si="30"/>
        <v>4.1666666666666666E-3</v>
      </c>
      <c r="V43" s="98">
        <f t="shared" si="31"/>
        <v>4.807692307692308E-3</v>
      </c>
      <c r="W43" s="98">
        <f t="shared" si="32"/>
        <v>0</v>
      </c>
      <c r="X43" s="98">
        <f t="shared" si="33"/>
        <v>6.25E-2</v>
      </c>
      <c r="Y43" s="98">
        <f t="shared" si="34"/>
        <v>2.1782178217821781E-2</v>
      </c>
      <c r="Z43" s="97">
        <f t="shared" si="35"/>
        <v>1</v>
      </c>
      <c r="AA43" s="98">
        <f t="shared" si="36"/>
        <v>0</v>
      </c>
      <c r="AB43" s="98">
        <f t="shared" si="37"/>
        <v>0</v>
      </c>
    </row>
    <row r="44" spans="1:28" ht="16">
      <c r="A44" s="228" t="s">
        <v>215</v>
      </c>
      <c r="B44" s="240"/>
      <c r="C44" s="240">
        <v>1</v>
      </c>
      <c r="D44" s="240"/>
      <c r="E44" s="240">
        <v>1</v>
      </c>
      <c r="F44" s="240"/>
      <c r="G44" s="240"/>
      <c r="H44" s="240"/>
      <c r="I44" s="240"/>
      <c r="J44" s="240"/>
      <c r="K44" s="240"/>
      <c r="L44" s="239">
        <v>6</v>
      </c>
      <c r="M44" s="240"/>
      <c r="N44" s="215">
        <f t="shared" si="25"/>
        <v>8</v>
      </c>
      <c r="P44" s="231" t="s">
        <v>215</v>
      </c>
      <c r="Q44" s="232">
        <f t="shared" si="26"/>
        <v>0</v>
      </c>
      <c r="R44" s="98">
        <f t="shared" si="27"/>
        <v>7.0274068868587491E-4</v>
      </c>
      <c r="S44" s="98">
        <f t="shared" si="28"/>
        <v>0</v>
      </c>
      <c r="T44" s="96">
        <f t="shared" si="29"/>
        <v>1.5220700152207001E-3</v>
      </c>
      <c r="U44" s="98">
        <f t="shared" si="30"/>
        <v>0</v>
      </c>
      <c r="V44" s="98">
        <f t="shared" si="31"/>
        <v>0</v>
      </c>
      <c r="W44" s="98">
        <f t="shared" si="32"/>
        <v>0</v>
      </c>
      <c r="X44" s="98">
        <f t="shared" si="33"/>
        <v>0</v>
      </c>
      <c r="Y44" s="98">
        <f t="shared" si="34"/>
        <v>0</v>
      </c>
      <c r="Z44" s="98">
        <f t="shared" si="35"/>
        <v>0</v>
      </c>
      <c r="AA44" s="97">
        <f t="shared" si="36"/>
        <v>1</v>
      </c>
      <c r="AB44" s="98">
        <f t="shared" si="37"/>
        <v>0</v>
      </c>
    </row>
    <row r="45" spans="1:28" ht="33" thickBot="1">
      <c r="A45" s="228" t="s">
        <v>216</v>
      </c>
      <c r="B45" s="240"/>
      <c r="C45" s="240"/>
      <c r="D45" s="240"/>
      <c r="E45" s="240"/>
      <c r="F45" s="240"/>
      <c r="G45" s="240"/>
      <c r="H45" s="240"/>
      <c r="I45" s="240"/>
      <c r="J45" s="240"/>
      <c r="K45" s="240"/>
      <c r="L45" s="240"/>
      <c r="M45" s="239">
        <v>4</v>
      </c>
      <c r="N45" s="215">
        <f t="shared" si="25"/>
        <v>4</v>
      </c>
      <c r="P45" s="231" t="s">
        <v>308</v>
      </c>
      <c r="Q45" s="235">
        <f t="shared" si="26"/>
        <v>0</v>
      </c>
      <c r="R45" s="101">
        <f t="shared" si="27"/>
        <v>0</v>
      </c>
      <c r="S45" s="101">
        <f t="shared" si="28"/>
        <v>0</v>
      </c>
      <c r="T45" s="103">
        <f t="shared" si="29"/>
        <v>0</v>
      </c>
      <c r="U45" s="101">
        <f t="shared" si="30"/>
        <v>0</v>
      </c>
      <c r="V45" s="101">
        <f t="shared" si="31"/>
        <v>0</v>
      </c>
      <c r="W45" s="101">
        <f t="shared" si="32"/>
        <v>0</v>
      </c>
      <c r="X45" s="101">
        <f t="shared" si="33"/>
        <v>0</v>
      </c>
      <c r="Y45" s="101">
        <f t="shared" si="34"/>
        <v>0</v>
      </c>
      <c r="Z45" s="101">
        <f t="shared" si="35"/>
        <v>0</v>
      </c>
      <c r="AA45" s="101">
        <f t="shared" si="36"/>
        <v>0</v>
      </c>
      <c r="AB45" s="102">
        <f t="shared" si="37"/>
        <v>1</v>
      </c>
    </row>
    <row r="46" spans="1:28" ht="15">
      <c r="A46" s="236"/>
      <c r="B46" s="241">
        <f t="shared" ref="B46:M46" si="38">SUM(B34:B45)</f>
        <v>81</v>
      </c>
      <c r="C46" s="241">
        <f t="shared" si="38"/>
        <v>3027</v>
      </c>
      <c r="D46" s="241">
        <f t="shared" si="38"/>
        <v>1681</v>
      </c>
      <c r="E46" s="241">
        <f t="shared" si="38"/>
        <v>1379</v>
      </c>
      <c r="F46" s="241">
        <f t="shared" si="38"/>
        <v>550</v>
      </c>
      <c r="G46" s="241">
        <f t="shared" si="38"/>
        <v>486</v>
      </c>
      <c r="H46" s="241">
        <f t="shared" si="38"/>
        <v>67</v>
      </c>
      <c r="I46" s="241">
        <f t="shared" si="38"/>
        <v>81</v>
      </c>
      <c r="J46" s="241">
        <f t="shared" si="38"/>
        <v>688</v>
      </c>
      <c r="K46" s="241">
        <f t="shared" si="38"/>
        <v>254</v>
      </c>
      <c r="L46" s="241">
        <f t="shared" si="38"/>
        <v>8</v>
      </c>
      <c r="M46" s="241">
        <f t="shared" si="38"/>
        <v>4</v>
      </c>
      <c r="P46" s="236" t="s">
        <v>460</v>
      </c>
      <c r="Q46" s="238">
        <f>SUM(Q35:Q45)</f>
        <v>0.3728813559322034</v>
      </c>
      <c r="R46" s="238">
        <f>SUM(R34,R36:R45)</f>
        <v>1.1271960646521431</v>
      </c>
      <c r="S46" s="238">
        <f>SUM(S34:S35,S37:S45)</f>
        <v>1.1634491634491635</v>
      </c>
      <c r="T46" s="238">
        <f>SUM(T34:T36,T38:T45)</f>
        <v>1.0989345509893456</v>
      </c>
      <c r="U46" s="238">
        <f>SUM(U34:U37,U39:U45)</f>
        <v>1.2916666666666665</v>
      </c>
      <c r="V46" s="238">
        <f>SUM(V34:V38,V40:V45)</f>
        <v>1.3365384615384615</v>
      </c>
      <c r="W46" s="238">
        <f>SUM(W34:W39,W41:W45)</f>
        <v>1.0303030303030303</v>
      </c>
      <c r="X46" s="238">
        <f>SUM(X34:X40,X42:X45)</f>
        <v>0.6875</v>
      </c>
      <c r="Y46" s="238">
        <f>SUM(Y34:Y41,Y43:Y45)</f>
        <v>0.36237623762376242</v>
      </c>
      <c r="Z46" s="238">
        <f>SUM(Z34:Z42,Z44:Z45)</f>
        <v>0.24509803921568632</v>
      </c>
      <c r="AA46" s="238">
        <f>SUM(AA34:AA43,AA45)</f>
        <v>0.33333333333333331</v>
      </c>
      <c r="AB46" s="238">
        <f>SUM(AB34:AB44)</f>
        <v>0</v>
      </c>
    </row>
    <row r="47" spans="1:28" ht="26">
      <c r="B47" s="227" t="s">
        <v>338</v>
      </c>
      <c r="C47" s="227"/>
      <c r="D47" s="227"/>
      <c r="E47" s="227"/>
      <c r="F47" s="227"/>
      <c r="G47" s="227"/>
      <c r="H47" s="227"/>
      <c r="I47" s="227"/>
      <c r="J47" s="227"/>
      <c r="K47" s="227"/>
      <c r="L47" s="227"/>
      <c r="M47" s="227"/>
      <c r="P47" s="296" t="s">
        <v>338</v>
      </c>
      <c r="Q47" s="296"/>
      <c r="R47" s="296"/>
      <c r="S47" s="296"/>
      <c r="T47" s="296"/>
      <c r="U47" s="296"/>
      <c r="V47" s="296"/>
      <c r="W47" s="296"/>
      <c r="X47" s="296"/>
      <c r="Y47" s="296"/>
      <c r="Z47" s="296"/>
      <c r="AA47" s="296"/>
      <c r="AB47" s="296"/>
    </row>
    <row r="48" spans="1:28" ht="48">
      <c r="A48" s="58" t="s">
        <v>199</v>
      </c>
      <c r="B48" s="59" t="s">
        <v>200</v>
      </c>
      <c r="C48" s="59" t="s">
        <v>201</v>
      </c>
      <c r="D48" s="60" t="s">
        <v>298</v>
      </c>
      <c r="E48" s="60" t="s">
        <v>299</v>
      </c>
      <c r="F48" s="59" t="s">
        <v>204</v>
      </c>
      <c r="G48" s="59" t="s">
        <v>205</v>
      </c>
      <c r="H48" s="59" t="s">
        <v>206</v>
      </c>
      <c r="I48" s="59" t="s">
        <v>207</v>
      </c>
      <c r="J48" s="59" t="s">
        <v>208</v>
      </c>
      <c r="K48" s="60" t="s">
        <v>300</v>
      </c>
      <c r="L48" s="60" t="s">
        <v>301</v>
      </c>
      <c r="M48" s="60" t="s">
        <v>302</v>
      </c>
      <c r="P48" s="58"/>
      <c r="Q48" s="93" t="s">
        <v>200</v>
      </c>
      <c r="R48" s="93" t="s">
        <v>201</v>
      </c>
      <c r="S48" s="92" t="s">
        <v>304</v>
      </c>
      <c r="T48" s="93" t="s">
        <v>305</v>
      </c>
      <c r="U48" s="93" t="s">
        <v>204</v>
      </c>
      <c r="V48" s="93" t="s">
        <v>306</v>
      </c>
      <c r="W48" s="93" t="s">
        <v>307</v>
      </c>
      <c r="X48" s="93" t="s">
        <v>207</v>
      </c>
      <c r="Y48" s="93" t="s">
        <v>208</v>
      </c>
      <c r="Z48" s="93" t="s">
        <v>214</v>
      </c>
      <c r="AA48" s="93" t="s">
        <v>215</v>
      </c>
      <c r="AB48" s="93" t="s">
        <v>308</v>
      </c>
    </row>
    <row r="49" spans="1:28" ht="16">
      <c r="A49" s="228" t="s">
        <v>200</v>
      </c>
      <c r="B49" s="229">
        <v>150</v>
      </c>
      <c r="C49" s="230">
        <v>9</v>
      </c>
      <c r="D49" s="230">
        <v>5</v>
      </c>
      <c r="E49" s="230">
        <v>4</v>
      </c>
      <c r="F49" s="230">
        <v>13</v>
      </c>
      <c r="G49" s="230">
        <v>12</v>
      </c>
      <c r="H49" s="230">
        <v>1</v>
      </c>
      <c r="I49" s="230">
        <v>3</v>
      </c>
      <c r="J49" s="230">
        <v>14</v>
      </c>
      <c r="K49" s="230">
        <v>6</v>
      </c>
      <c r="L49" s="230">
        <v>0</v>
      </c>
      <c r="M49" s="230">
        <v>0</v>
      </c>
      <c r="P49" s="231" t="s">
        <v>200</v>
      </c>
      <c r="Q49" s="97">
        <f t="shared" ref="Q49:Q60" si="39">B49/B$49</f>
        <v>1</v>
      </c>
      <c r="R49" s="98">
        <f t="shared" ref="R49:R60" si="40">C49/C$50</f>
        <v>2.0628008251203302E-3</v>
      </c>
      <c r="S49" s="98">
        <f t="shared" ref="S49:S60" si="41">D49/D$51</f>
        <v>1.8573551263001485E-3</v>
      </c>
      <c r="T49" s="96">
        <f t="shared" ref="T49:T60" si="42">E49/E$52</f>
        <v>2.3584905660377358E-3</v>
      </c>
      <c r="U49" s="98">
        <f t="shared" ref="U49:U60" si="43">F49/F$53</f>
        <v>1.74496644295302E-2</v>
      </c>
      <c r="V49" s="98">
        <f t="shared" ref="V49:V60" si="44">G49/G$54</f>
        <v>2.0547945205479451E-2</v>
      </c>
      <c r="W49" s="98">
        <f t="shared" ref="W49:W60" si="45">H49/H$55</f>
        <v>6.0975609756097563E-3</v>
      </c>
      <c r="X49" s="98">
        <f t="shared" ref="X49:X60" si="46">I49/I$56</f>
        <v>1.6666666666666666E-2</v>
      </c>
      <c r="Y49" s="98">
        <f t="shared" ref="Y49:Y60" si="47">J49/J$57</f>
        <v>6.6508313539192397E-3</v>
      </c>
      <c r="Z49" s="98">
        <f t="shared" ref="Z49:Z60" si="48">K49/K$58</f>
        <v>1.2422360248447204E-2</v>
      </c>
      <c r="AA49" s="98">
        <f t="shared" ref="AA49:AA60" si="49">L49/L$59</f>
        <v>0</v>
      </c>
      <c r="AB49" s="98">
        <f t="shared" ref="AB49:AB60" si="50">M49/M$60</f>
        <v>0</v>
      </c>
    </row>
    <row r="50" spans="1:28" ht="16">
      <c r="A50" s="228" t="s">
        <v>201</v>
      </c>
      <c r="B50" s="230">
        <v>9</v>
      </c>
      <c r="C50" s="229">
        <v>4363</v>
      </c>
      <c r="D50" s="230">
        <v>2692</v>
      </c>
      <c r="E50" s="230">
        <v>1696</v>
      </c>
      <c r="F50" s="230">
        <v>64</v>
      </c>
      <c r="G50" s="230">
        <v>62</v>
      </c>
      <c r="H50" s="230">
        <v>2</v>
      </c>
      <c r="I50" s="230">
        <v>42</v>
      </c>
      <c r="J50" s="230">
        <v>393</v>
      </c>
      <c r="K50" s="230">
        <v>22</v>
      </c>
      <c r="L50" s="230">
        <v>0</v>
      </c>
      <c r="M50" s="230">
        <v>0</v>
      </c>
      <c r="P50" s="231" t="s">
        <v>201</v>
      </c>
      <c r="Q50" s="232">
        <f t="shared" si="39"/>
        <v>0.06</v>
      </c>
      <c r="R50" s="97">
        <f t="shared" si="40"/>
        <v>1</v>
      </c>
      <c r="S50" s="106">
        <f t="shared" si="41"/>
        <v>1</v>
      </c>
      <c r="T50" s="107">
        <f t="shared" si="42"/>
        <v>1</v>
      </c>
      <c r="U50" s="98">
        <f t="shared" si="43"/>
        <v>8.5906040268456371E-2</v>
      </c>
      <c r="V50" s="98">
        <f t="shared" si="44"/>
        <v>0.10616438356164383</v>
      </c>
      <c r="W50" s="98">
        <f t="shared" si="45"/>
        <v>1.2195121951219513E-2</v>
      </c>
      <c r="X50" s="98">
        <f t="shared" si="46"/>
        <v>0.23333333333333334</v>
      </c>
      <c r="Y50" s="98">
        <f t="shared" si="47"/>
        <v>0.18669833729216151</v>
      </c>
      <c r="Z50" s="98">
        <f t="shared" si="48"/>
        <v>4.5548654244306416E-2</v>
      </c>
      <c r="AA50" s="98">
        <f t="shared" si="49"/>
        <v>0</v>
      </c>
      <c r="AB50" s="98">
        <f t="shared" si="50"/>
        <v>0</v>
      </c>
    </row>
    <row r="51" spans="1:28" ht="32">
      <c r="A51" s="233" t="s">
        <v>212</v>
      </c>
      <c r="B51" s="230">
        <v>5</v>
      </c>
      <c r="C51" s="230">
        <v>2692</v>
      </c>
      <c r="D51" s="229">
        <v>2692</v>
      </c>
      <c r="E51" s="230">
        <v>25</v>
      </c>
      <c r="F51" s="230">
        <v>45</v>
      </c>
      <c r="G51" s="230">
        <v>43</v>
      </c>
      <c r="H51" s="230">
        <v>2</v>
      </c>
      <c r="I51" s="230">
        <v>16</v>
      </c>
      <c r="J51" s="230">
        <v>360</v>
      </c>
      <c r="K51" s="230">
        <v>20</v>
      </c>
      <c r="L51" s="230">
        <v>0</v>
      </c>
      <c r="M51" s="230">
        <v>0</v>
      </c>
      <c r="P51" s="233" t="s">
        <v>304</v>
      </c>
      <c r="Q51" s="232">
        <f t="shared" si="39"/>
        <v>3.3333333333333333E-2</v>
      </c>
      <c r="R51" s="98">
        <f t="shared" si="40"/>
        <v>0.61700664680265871</v>
      </c>
      <c r="S51" s="97">
        <f t="shared" si="41"/>
        <v>1</v>
      </c>
      <c r="T51" s="96">
        <f t="shared" si="42"/>
        <v>1.4740566037735849E-2</v>
      </c>
      <c r="U51" s="98">
        <f t="shared" si="43"/>
        <v>6.0402684563758392E-2</v>
      </c>
      <c r="V51" s="98">
        <f t="shared" si="44"/>
        <v>7.3630136986301373E-2</v>
      </c>
      <c r="W51" s="98">
        <f t="shared" si="45"/>
        <v>1.2195121951219513E-2</v>
      </c>
      <c r="X51" s="98">
        <f t="shared" si="46"/>
        <v>8.8888888888888892E-2</v>
      </c>
      <c r="Y51" s="98">
        <f t="shared" si="47"/>
        <v>0.17102137767220901</v>
      </c>
      <c r="Z51" s="98">
        <f t="shared" si="48"/>
        <v>4.1407867494824016E-2</v>
      </c>
      <c r="AA51" s="98">
        <f t="shared" si="49"/>
        <v>0</v>
      </c>
      <c r="AB51" s="98">
        <f t="shared" si="50"/>
        <v>0</v>
      </c>
    </row>
    <row r="52" spans="1:28" ht="16">
      <c r="A52" s="228" t="s">
        <v>213</v>
      </c>
      <c r="B52" s="230">
        <v>4</v>
      </c>
      <c r="C52" s="230">
        <v>1696</v>
      </c>
      <c r="D52" s="230">
        <v>25</v>
      </c>
      <c r="E52" s="229">
        <v>1696</v>
      </c>
      <c r="F52" s="230">
        <v>19</v>
      </c>
      <c r="G52" s="230">
        <v>19</v>
      </c>
      <c r="H52" s="230">
        <v>0</v>
      </c>
      <c r="I52" s="230">
        <v>26</v>
      </c>
      <c r="J52" s="230">
        <v>33</v>
      </c>
      <c r="K52" s="230">
        <v>2</v>
      </c>
      <c r="L52" s="230">
        <v>0</v>
      </c>
      <c r="M52" s="230">
        <v>0</v>
      </c>
      <c r="P52" s="231" t="s">
        <v>305</v>
      </c>
      <c r="Q52" s="232">
        <f t="shared" si="39"/>
        <v>2.6666666666666668E-2</v>
      </c>
      <c r="R52" s="98">
        <f t="shared" si="40"/>
        <v>0.38872335548934217</v>
      </c>
      <c r="S52" s="98">
        <f t="shared" si="41"/>
        <v>9.2867756315007429E-3</v>
      </c>
      <c r="T52" s="95">
        <f t="shared" si="42"/>
        <v>1</v>
      </c>
      <c r="U52" s="98">
        <f t="shared" si="43"/>
        <v>2.5503355704697986E-2</v>
      </c>
      <c r="V52" s="98">
        <f t="shared" si="44"/>
        <v>3.2534246575342464E-2</v>
      </c>
      <c r="W52" s="98">
        <f t="shared" si="45"/>
        <v>0</v>
      </c>
      <c r="X52" s="98">
        <f t="shared" si="46"/>
        <v>0.14444444444444443</v>
      </c>
      <c r="Y52" s="98">
        <f t="shared" si="47"/>
        <v>1.5676959619952493E-2</v>
      </c>
      <c r="Z52" s="98">
        <f t="shared" si="48"/>
        <v>4.140786749482402E-3</v>
      </c>
      <c r="AA52" s="98">
        <f t="shared" si="49"/>
        <v>0</v>
      </c>
      <c r="AB52" s="98">
        <f t="shared" si="50"/>
        <v>0</v>
      </c>
    </row>
    <row r="53" spans="1:28" ht="16">
      <c r="A53" s="228" t="s">
        <v>204</v>
      </c>
      <c r="B53" s="230">
        <v>13</v>
      </c>
      <c r="C53" s="230">
        <v>64</v>
      </c>
      <c r="D53" s="230">
        <v>45</v>
      </c>
      <c r="E53" s="230">
        <v>19</v>
      </c>
      <c r="F53" s="229">
        <v>745</v>
      </c>
      <c r="G53" s="230">
        <v>584</v>
      </c>
      <c r="H53" s="230">
        <v>164</v>
      </c>
      <c r="I53" s="230">
        <v>12</v>
      </c>
      <c r="J53" s="230">
        <v>42</v>
      </c>
      <c r="K53" s="230">
        <v>6</v>
      </c>
      <c r="L53" s="230">
        <v>0</v>
      </c>
      <c r="M53" s="230">
        <v>0</v>
      </c>
      <c r="P53" s="231" t="s">
        <v>204</v>
      </c>
      <c r="Q53" s="232">
        <f t="shared" si="39"/>
        <v>8.666666666666667E-2</v>
      </c>
      <c r="R53" s="98">
        <f t="shared" si="40"/>
        <v>1.4668805867522347E-2</v>
      </c>
      <c r="S53" s="98">
        <f t="shared" si="41"/>
        <v>1.6716196136701337E-2</v>
      </c>
      <c r="T53" s="96">
        <f t="shared" si="42"/>
        <v>1.1202830188679245E-2</v>
      </c>
      <c r="U53" s="97">
        <f t="shared" si="43"/>
        <v>1</v>
      </c>
      <c r="V53" s="106">
        <f t="shared" si="44"/>
        <v>1</v>
      </c>
      <c r="W53" s="106">
        <f t="shared" si="45"/>
        <v>1</v>
      </c>
      <c r="X53" s="98">
        <f t="shared" si="46"/>
        <v>6.6666666666666666E-2</v>
      </c>
      <c r="Y53" s="98">
        <f t="shared" si="47"/>
        <v>1.9952494061757718E-2</v>
      </c>
      <c r="Z53" s="98">
        <f t="shared" si="48"/>
        <v>1.2422360248447204E-2</v>
      </c>
      <c r="AA53" s="98">
        <f t="shared" si="49"/>
        <v>0</v>
      </c>
      <c r="AB53" s="98">
        <f t="shared" si="50"/>
        <v>0</v>
      </c>
    </row>
    <row r="54" spans="1:28" ht="16">
      <c r="A54" s="228" t="s">
        <v>205</v>
      </c>
      <c r="B54" s="230">
        <v>12</v>
      </c>
      <c r="C54" s="230">
        <v>62</v>
      </c>
      <c r="D54" s="230">
        <v>43</v>
      </c>
      <c r="E54" s="230">
        <v>19</v>
      </c>
      <c r="F54" s="230">
        <v>584</v>
      </c>
      <c r="G54" s="229">
        <v>584</v>
      </c>
      <c r="H54" s="230">
        <v>3</v>
      </c>
      <c r="I54" s="230">
        <v>11</v>
      </c>
      <c r="J54" s="230">
        <v>41</v>
      </c>
      <c r="K54" s="230">
        <v>4</v>
      </c>
      <c r="L54" s="230">
        <v>0</v>
      </c>
      <c r="M54" s="230">
        <v>0</v>
      </c>
      <c r="P54" s="231" t="s">
        <v>306</v>
      </c>
      <c r="Q54" s="232">
        <f t="shared" si="39"/>
        <v>0.08</v>
      </c>
      <c r="R54" s="98">
        <f t="shared" si="40"/>
        <v>1.4210405684162274E-2</v>
      </c>
      <c r="S54" s="98">
        <f t="shared" si="41"/>
        <v>1.5973254086181277E-2</v>
      </c>
      <c r="T54" s="96">
        <f t="shared" si="42"/>
        <v>1.1202830188679245E-2</v>
      </c>
      <c r="U54" s="98">
        <f t="shared" si="43"/>
        <v>0.78389261744966443</v>
      </c>
      <c r="V54" s="97">
        <f t="shared" si="44"/>
        <v>1</v>
      </c>
      <c r="W54" s="98">
        <f t="shared" si="45"/>
        <v>1.8292682926829267E-2</v>
      </c>
      <c r="X54" s="98">
        <f t="shared" si="46"/>
        <v>6.1111111111111109E-2</v>
      </c>
      <c r="Y54" s="98">
        <f t="shared" si="47"/>
        <v>1.9477434679334917E-2</v>
      </c>
      <c r="Z54" s="98">
        <f t="shared" si="48"/>
        <v>8.2815734989648039E-3</v>
      </c>
      <c r="AA54" s="98">
        <f t="shared" si="49"/>
        <v>0</v>
      </c>
      <c r="AB54" s="98">
        <f t="shared" si="50"/>
        <v>0</v>
      </c>
    </row>
    <row r="55" spans="1:28" ht="16">
      <c r="A55" s="228" t="s">
        <v>206</v>
      </c>
      <c r="B55" s="230">
        <v>1</v>
      </c>
      <c r="C55" s="230">
        <v>2</v>
      </c>
      <c r="D55" s="230">
        <v>2</v>
      </c>
      <c r="E55" s="230">
        <v>0</v>
      </c>
      <c r="F55" s="230">
        <v>164</v>
      </c>
      <c r="G55" s="230">
        <v>3</v>
      </c>
      <c r="H55" s="229">
        <v>164</v>
      </c>
      <c r="I55" s="230">
        <v>1</v>
      </c>
      <c r="J55" s="230">
        <v>1</v>
      </c>
      <c r="K55" s="230">
        <v>2</v>
      </c>
      <c r="L55" s="230">
        <v>0</v>
      </c>
      <c r="M55" s="230">
        <v>0</v>
      </c>
      <c r="P55" s="231" t="s">
        <v>307</v>
      </c>
      <c r="Q55" s="232">
        <f t="shared" si="39"/>
        <v>6.6666666666666671E-3</v>
      </c>
      <c r="R55" s="98">
        <f t="shared" si="40"/>
        <v>4.5840018336007336E-4</v>
      </c>
      <c r="S55" s="98">
        <f t="shared" si="41"/>
        <v>7.429420505200594E-4</v>
      </c>
      <c r="T55" s="96">
        <f t="shared" si="42"/>
        <v>0</v>
      </c>
      <c r="U55" s="98">
        <f t="shared" si="43"/>
        <v>0.22013422818791947</v>
      </c>
      <c r="V55" s="98">
        <f t="shared" si="44"/>
        <v>5.1369863013698627E-3</v>
      </c>
      <c r="W55" s="97">
        <f t="shared" si="45"/>
        <v>1</v>
      </c>
      <c r="X55" s="98">
        <f t="shared" si="46"/>
        <v>5.5555555555555558E-3</v>
      </c>
      <c r="Y55" s="98">
        <f t="shared" si="47"/>
        <v>4.7505938242280285E-4</v>
      </c>
      <c r="Z55" s="98">
        <f t="shared" si="48"/>
        <v>4.140786749482402E-3</v>
      </c>
      <c r="AA55" s="98">
        <f t="shared" si="49"/>
        <v>0</v>
      </c>
      <c r="AB55" s="98">
        <f t="shared" si="50"/>
        <v>0</v>
      </c>
    </row>
    <row r="56" spans="1:28" ht="16">
      <c r="A56" s="228" t="s">
        <v>207</v>
      </c>
      <c r="B56" s="230">
        <v>3</v>
      </c>
      <c r="C56" s="230">
        <v>42</v>
      </c>
      <c r="D56" s="230">
        <v>16</v>
      </c>
      <c r="E56" s="230">
        <v>26</v>
      </c>
      <c r="F56" s="230">
        <v>12</v>
      </c>
      <c r="G56" s="230">
        <v>11</v>
      </c>
      <c r="H56" s="230">
        <v>1</v>
      </c>
      <c r="I56" s="229">
        <v>180</v>
      </c>
      <c r="J56" s="230">
        <v>11</v>
      </c>
      <c r="K56" s="230">
        <v>5</v>
      </c>
      <c r="L56" s="230">
        <v>0</v>
      </c>
      <c r="M56" s="230">
        <v>0</v>
      </c>
      <c r="P56" s="231" t="s">
        <v>207</v>
      </c>
      <c r="Q56" s="232">
        <f t="shared" si="39"/>
        <v>0.02</v>
      </c>
      <c r="R56" s="98">
        <f t="shared" si="40"/>
        <v>9.62640385056154E-3</v>
      </c>
      <c r="S56" s="98">
        <f t="shared" si="41"/>
        <v>5.9435364041604752E-3</v>
      </c>
      <c r="T56" s="96">
        <f t="shared" si="42"/>
        <v>1.5330188679245283E-2</v>
      </c>
      <c r="U56" s="98">
        <f t="shared" si="43"/>
        <v>1.6107382550335572E-2</v>
      </c>
      <c r="V56" s="98">
        <f t="shared" si="44"/>
        <v>1.8835616438356163E-2</v>
      </c>
      <c r="W56" s="98">
        <f t="shared" si="45"/>
        <v>6.0975609756097563E-3</v>
      </c>
      <c r="X56" s="97">
        <f t="shared" si="46"/>
        <v>1</v>
      </c>
      <c r="Y56" s="98">
        <f t="shared" si="47"/>
        <v>5.2256532066508312E-3</v>
      </c>
      <c r="Z56" s="98">
        <f t="shared" si="48"/>
        <v>1.0351966873706004E-2</v>
      </c>
      <c r="AA56" s="98">
        <f t="shared" si="49"/>
        <v>0</v>
      </c>
      <c r="AB56" s="98">
        <f t="shared" si="50"/>
        <v>0</v>
      </c>
    </row>
    <row r="57" spans="1:28" ht="16">
      <c r="A57" s="228" t="s">
        <v>208</v>
      </c>
      <c r="B57" s="230">
        <v>14</v>
      </c>
      <c r="C57" s="230">
        <v>393</v>
      </c>
      <c r="D57" s="230">
        <v>360</v>
      </c>
      <c r="E57" s="230">
        <v>33</v>
      </c>
      <c r="F57" s="230">
        <v>42</v>
      </c>
      <c r="G57" s="230">
        <v>41</v>
      </c>
      <c r="H57" s="230">
        <v>1</v>
      </c>
      <c r="I57" s="230">
        <v>11</v>
      </c>
      <c r="J57" s="229">
        <v>2105</v>
      </c>
      <c r="K57" s="230">
        <v>47</v>
      </c>
      <c r="L57" s="230">
        <v>0</v>
      </c>
      <c r="M57" s="230">
        <v>1</v>
      </c>
      <c r="P57" s="231" t="s">
        <v>208</v>
      </c>
      <c r="Q57" s="232">
        <f t="shared" si="39"/>
        <v>9.3333333333333338E-2</v>
      </c>
      <c r="R57" s="98">
        <f t="shared" si="40"/>
        <v>9.0075636030254411E-2</v>
      </c>
      <c r="S57" s="98">
        <f t="shared" si="41"/>
        <v>0.1337295690936107</v>
      </c>
      <c r="T57" s="96">
        <f t="shared" si="42"/>
        <v>1.945754716981132E-2</v>
      </c>
      <c r="U57" s="98">
        <f t="shared" si="43"/>
        <v>5.6375838926174496E-2</v>
      </c>
      <c r="V57" s="98">
        <f t="shared" si="44"/>
        <v>7.0205479452054798E-2</v>
      </c>
      <c r="W57" s="98">
        <f t="shared" si="45"/>
        <v>6.0975609756097563E-3</v>
      </c>
      <c r="X57" s="98">
        <f t="shared" si="46"/>
        <v>6.1111111111111109E-2</v>
      </c>
      <c r="Y57" s="97">
        <f t="shared" si="47"/>
        <v>1</v>
      </c>
      <c r="Z57" s="98">
        <f t="shared" si="48"/>
        <v>9.7308488612836433E-2</v>
      </c>
      <c r="AA57" s="98">
        <f t="shared" si="49"/>
        <v>0</v>
      </c>
      <c r="AB57" s="98">
        <f t="shared" si="50"/>
        <v>0.125</v>
      </c>
    </row>
    <row r="58" spans="1:28" ht="16">
      <c r="A58" s="228" t="s">
        <v>214</v>
      </c>
      <c r="B58" s="230">
        <v>6</v>
      </c>
      <c r="C58" s="230">
        <v>22</v>
      </c>
      <c r="D58" s="230">
        <v>20</v>
      </c>
      <c r="E58" s="230">
        <v>2</v>
      </c>
      <c r="F58" s="230">
        <v>6</v>
      </c>
      <c r="G58" s="230">
        <v>4</v>
      </c>
      <c r="H58" s="230">
        <v>2</v>
      </c>
      <c r="I58" s="230">
        <v>5</v>
      </c>
      <c r="J58" s="230">
        <v>47</v>
      </c>
      <c r="K58" s="229">
        <v>483</v>
      </c>
      <c r="L58" s="230">
        <v>0</v>
      </c>
      <c r="M58" s="230">
        <v>0</v>
      </c>
      <c r="P58" s="231" t="s">
        <v>214</v>
      </c>
      <c r="Q58" s="232">
        <f t="shared" si="39"/>
        <v>0.04</v>
      </c>
      <c r="R58" s="98">
        <f t="shared" si="40"/>
        <v>5.0424020169608065E-3</v>
      </c>
      <c r="S58" s="98">
        <f t="shared" si="41"/>
        <v>7.429420505200594E-3</v>
      </c>
      <c r="T58" s="96">
        <f t="shared" si="42"/>
        <v>1.1792452830188679E-3</v>
      </c>
      <c r="U58" s="98">
        <f t="shared" si="43"/>
        <v>8.0536912751677861E-3</v>
      </c>
      <c r="V58" s="98">
        <f t="shared" si="44"/>
        <v>6.8493150684931503E-3</v>
      </c>
      <c r="W58" s="98">
        <f t="shared" si="45"/>
        <v>1.2195121951219513E-2</v>
      </c>
      <c r="X58" s="98">
        <f t="shared" si="46"/>
        <v>2.7777777777777776E-2</v>
      </c>
      <c r="Y58" s="98">
        <f t="shared" si="47"/>
        <v>2.2327790973871733E-2</v>
      </c>
      <c r="Z58" s="97">
        <f t="shared" si="48"/>
        <v>1</v>
      </c>
      <c r="AA58" s="98">
        <f t="shared" si="49"/>
        <v>0</v>
      </c>
      <c r="AB58" s="98">
        <f t="shared" si="50"/>
        <v>0</v>
      </c>
    </row>
    <row r="59" spans="1:28" ht="16">
      <c r="A59" s="228" t="s">
        <v>215</v>
      </c>
      <c r="B59" s="230">
        <v>0</v>
      </c>
      <c r="C59" s="230">
        <v>0</v>
      </c>
      <c r="D59" s="230">
        <v>0</v>
      </c>
      <c r="E59" s="230">
        <v>0</v>
      </c>
      <c r="F59" s="230">
        <v>0</v>
      </c>
      <c r="G59" s="230">
        <v>0</v>
      </c>
      <c r="H59" s="230">
        <v>0</v>
      </c>
      <c r="I59" s="230">
        <v>0</v>
      </c>
      <c r="J59" s="230">
        <v>0</v>
      </c>
      <c r="K59" s="230">
        <v>0</v>
      </c>
      <c r="L59" s="229">
        <v>8</v>
      </c>
      <c r="M59" s="230">
        <v>0</v>
      </c>
      <c r="P59" s="231" t="s">
        <v>215</v>
      </c>
      <c r="Q59" s="232">
        <f t="shared" si="39"/>
        <v>0</v>
      </c>
      <c r="R59" s="98">
        <f t="shared" si="40"/>
        <v>0</v>
      </c>
      <c r="S59" s="98">
        <f t="shared" si="41"/>
        <v>0</v>
      </c>
      <c r="T59" s="96">
        <f t="shared" si="42"/>
        <v>0</v>
      </c>
      <c r="U59" s="98">
        <f t="shared" si="43"/>
        <v>0</v>
      </c>
      <c r="V59" s="98">
        <f t="shared" si="44"/>
        <v>0</v>
      </c>
      <c r="W59" s="98">
        <f t="shared" si="45"/>
        <v>0</v>
      </c>
      <c r="X59" s="98">
        <f t="shared" si="46"/>
        <v>0</v>
      </c>
      <c r="Y59" s="98">
        <f t="shared" si="47"/>
        <v>0</v>
      </c>
      <c r="Z59" s="98">
        <f t="shared" si="48"/>
        <v>0</v>
      </c>
      <c r="AA59" s="97">
        <f t="shared" si="49"/>
        <v>1</v>
      </c>
      <c r="AB59" s="98">
        <f t="shared" si="50"/>
        <v>0</v>
      </c>
    </row>
    <row r="60" spans="1:28" ht="33" thickBot="1">
      <c r="A60" s="228" t="s">
        <v>216</v>
      </c>
      <c r="B60" s="230">
        <v>0</v>
      </c>
      <c r="C60" s="230">
        <v>0</v>
      </c>
      <c r="D60" s="230">
        <v>0</v>
      </c>
      <c r="E60" s="230">
        <v>0</v>
      </c>
      <c r="F60" s="230">
        <v>0</v>
      </c>
      <c r="G60" s="230">
        <v>0</v>
      </c>
      <c r="H60" s="230">
        <v>0</v>
      </c>
      <c r="I60" s="230">
        <v>0</v>
      </c>
      <c r="J60" s="230">
        <v>1</v>
      </c>
      <c r="K60" s="230">
        <v>0</v>
      </c>
      <c r="L60" s="230">
        <v>0</v>
      </c>
      <c r="M60" s="229">
        <v>8</v>
      </c>
      <c r="P60" s="231" t="s">
        <v>308</v>
      </c>
      <c r="Q60" s="235">
        <f t="shared" si="39"/>
        <v>0</v>
      </c>
      <c r="R60" s="101">
        <f t="shared" si="40"/>
        <v>0</v>
      </c>
      <c r="S60" s="101">
        <f t="shared" si="41"/>
        <v>0</v>
      </c>
      <c r="T60" s="103">
        <f t="shared" si="42"/>
        <v>0</v>
      </c>
      <c r="U60" s="101">
        <f t="shared" si="43"/>
        <v>0</v>
      </c>
      <c r="V60" s="101">
        <f t="shared" si="44"/>
        <v>0</v>
      </c>
      <c r="W60" s="101">
        <f t="shared" si="45"/>
        <v>0</v>
      </c>
      <c r="X60" s="101">
        <f t="shared" si="46"/>
        <v>0</v>
      </c>
      <c r="Y60" s="101">
        <f t="shared" si="47"/>
        <v>4.7505938242280285E-4</v>
      </c>
      <c r="Z60" s="101">
        <f t="shared" si="48"/>
        <v>0</v>
      </c>
      <c r="AA60" s="101">
        <f t="shared" si="49"/>
        <v>0</v>
      </c>
      <c r="AB60" s="102">
        <f t="shared" si="50"/>
        <v>1</v>
      </c>
    </row>
    <row r="61" spans="1:28" ht="16.5" customHeight="1">
      <c r="A61" s="251"/>
      <c r="B61" s="237"/>
      <c r="C61" s="237"/>
      <c r="D61" s="237"/>
      <c r="E61" s="237"/>
      <c r="F61" s="237"/>
      <c r="G61" s="237"/>
      <c r="H61" s="237"/>
      <c r="I61" s="237"/>
      <c r="J61" s="237"/>
      <c r="K61" s="237"/>
      <c r="L61" s="237"/>
      <c r="M61" s="252"/>
      <c r="P61" s="236" t="s">
        <v>460</v>
      </c>
      <c r="Q61" s="238">
        <f>SUM(Q50:Q60)</f>
        <v>0.44666666666666666</v>
      </c>
      <c r="R61" s="238">
        <f>SUM(R49,R51:R60)</f>
        <v>1.1418748567499428</v>
      </c>
      <c r="S61" s="238">
        <f>SUM(S49:S50,S52:S60)</f>
        <v>1.1916790490341751</v>
      </c>
      <c r="T61" s="238">
        <f>SUM(T49:T51,T53:T60)</f>
        <v>1.0754716981132073</v>
      </c>
      <c r="U61" s="238">
        <f>SUM(U49:U52,U54:U60)</f>
        <v>1.2738255033557049</v>
      </c>
      <c r="V61" s="238">
        <f>SUM(V49:V53,V55:V60)</f>
        <v>1.3339041095890412</v>
      </c>
      <c r="W61" s="238">
        <f>SUM(W49:W54,W56:W60)</f>
        <v>1.0731707317073171</v>
      </c>
      <c r="X61" s="238">
        <f>SUM(X49:X55,X57:X60)</f>
        <v>0.7055555555555556</v>
      </c>
      <c r="Y61" s="238">
        <f>SUM(Y49:Y56,Y58:Y60)</f>
        <v>0.44798099762470306</v>
      </c>
      <c r="Z61" s="238">
        <f>SUM(Z49:Z57,Z59:Z60)</f>
        <v>0.2360248447204969</v>
      </c>
      <c r="AA61" s="238">
        <f>SUM(AA49:AA58,AA60)</f>
        <v>0</v>
      </c>
      <c r="AB61" s="238">
        <f>SUM(AB49:AB59)</f>
        <v>0.125</v>
      </c>
    </row>
    <row r="62" spans="1:28" ht="26">
      <c r="B62" s="227" t="s">
        <v>337</v>
      </c>
      <c r="C62" s="227"/>
      <c r="D62" s="227"/>
      <c r="E62" s="227"/>
      <c r="F62" s="227"/>
      <c r="G62" s="227"/>
      <c r="H62" s="227"/>
      <c r="I62" s="227"/>
      <c r="J62" s="227"/>
      <c r="K62" s="227"/>
      <c r="L62" s="227"/>
      <c r="M62" s="227"/>
      <c r="P62" s="296" t="s">
        <v>337</v>
      </c>
      <c r="Q62" s="296"/>
      <c r="R62" s="296"/>
      <c r="S62" s="296"/>
      <c r="T62" s="296"/>
      <c r="U62" s="296"/>
      <c r="V62" s="296"/>
      <c r="W62" s="296"/>
      <c r="X62" s="296"/>
      <c r="Y62" s="296"/>
      <c r="Z62" s="296"/>
      <c r="AA62" s="296"/>
      <c r="AB62" s="296"/>
    </row>
    <row r="63" spans="1:28" ht="48">
      <c r="A63" s="58" t="s">
        <v>199</v>
      </c>
      <c r="B63" s="59" t="s">
        <v>200</v>
      </c>
      <c r="C63" s="59" t="s">
        <v>201</v>
      </c>
      <c r="D63" s="60" t="s">
        <v>298</v>
      </c>
      <c r="E63" s="60" t="s">
        <v>299</v>
      </c>
      <c r="F63" s="59" t="s">
        <v>204</v>
      </c>
      <c r="G63" s="59" t="s">
        <v>205</v>
      </c>
      <c r="H63" s="59" t="s">
        <v>206</v>
      </c>
      <c r="I63" s="59" t="s">
        <v>207</v>
      </c>
      <c r="J63" s="59" t="s">
        <v>208</v>
      </c>
      <c r="K63" s="60" t="s">
        <v>300</v>
      </c>
      <c r="L63" s="60" t="s">
        <v>301</v>
      </c>
      <c r="M63" s="60" t="s">
        <v>302</v>
      </c>
      <c r="P63" s="58"/>
      <c r="Q63" s="93" t="s">
        <v>200</v>
      </c>
      <c r="R63" s="93" t="s">
        <v>201</v>
      </c>
      <c r="S63" s="92" t="s">
        <v>304</v>
      </c>
      <c r="T63" s="93" t="s">
        <v>305</v>
      </c>
      <c r="U63" s="93" t="s">
        <v>204</v>
      </c>
      <c r="V63" s="93" t="s">
        <v>306</v>
      </c>
      <c r="W63" s="93" t="s">
        <v>307</v>
      </c>
      <c r="X63" s="93" t="s">
        <v>207</v>
      </c>
      <c r="Y63" s="93" t="s">
        <v>208</v>
      </c>
      <c r="Z63" s="93" t="s">
        <v>214</v>
      </c>
      <c r="AA63" s="93" t="s">
        <v>215</v>
      </c>
      <c r="AB63" s="93" t="s">
        <v>308</v>
      </c>
    </row>
    <row r="64" spans="1:28" ht="16">
      <c r="A64" s="228" t="s">
        <v>200</v>
      </c>
      <c r="B64" s="229">
        <v>243</v>
      </c>
      <c r="C64" s="230">
        <v>11</v>
      </c>
      <c r="D64" s="230">
        <v>6</v>
      </c>
      <c r="E64" s="230">
        <v>5</v>
      </c>
      <c r="F64" s="230">
        <v>11</v>
      </c>
      <c r="G64" s="230">
        <v>10</v>
      </c>
      <c r="H64" s="230">
        <v>1</v>
      </c>
      <c r="I64" s="230">
        <v>17</v>
      </c>
      <c r="J64" s="230">
        <v>9</v>
      </c>
      <c r="K64" s="230">
        <v>0</v>
      </c>
      <c r="L64" s="230">
        <v>2</v>
      </c>
      <c r="M64" s="230">
        <v>0</v>
      </c>
      <c r="P64" s="231" t="s">
        <v>200</v>
      </c>
      <c r="Q64" s="97">
        <f>B64/B$64</f>
        <v>1</v>
      </c>
      <c r="R64" s="98">
        <f>C64/C$65</f>
        <v>3.7826685006877581E-3</v>
      </c>
      <c r="S64" s="98">
        <f>D64/D$66</f>
        <v>3.4883720930232558E-3</v>
      </c>
      <c r="T64" s="96">
        <f>E64/E$67</f>
        <v>4.1084634346754316E-3</v>
      </c>
      <c r="U64" s="98">
        <f>F64/F$68</f>
        <v>2.0408163265306121E-2</v>
      </c>
      <c r="V64" s="98">
        <f>G64/G$69</f>
        <v>2.1929824561403508E-2</v>
      </c>
      <c r="W64" s="98">
        <f>H64/H$70</f>
        <v>1.2048192771084338E-2</v>
      </c>
      <c r="X64" s="98">
        <f>I64/I$71</f>
        <v>5.8219178082191778E-2</v>
      </c>
      <c r="Y64" s="98">
        <f>J64/J$72</f>
        <v>6.7415730337078653E-3</v>
      </c>
      <c r="Z64" s="98">
        <f>K64/K$73</f>
        <v>0</v>
      </c>
      <c r="AA64" s="98">
        <f>L64/L$74</f>
        <v>2.7397260273972601E-2</v>
      </c>
      <c r="AB64" s="98">
        <f>M64/M$75</f>
        <v>0</v>
      </c>
    </row>
    <row r="65" spans="1:28" ht="16">
      <c r="A65" s="228" t="s">
        <v>201</v>
      </c>
      <c r="B65" s="230">
        <v>11</v>
      </c>
      <c r="C65" s="229">
        <v>2908</v>
      </c>
      <c r="D65" s="230">
        <v>1720</v>
      </c>
      <c r="E65" s="230">
        <v>1217</v>
      </c>
      <c r="F65" s="230">
        <v>34</v>
      </c>
      <c r="G65" s="230">
        <v>31</v>
      </c>
      <c r="H65" s="230">
        <v>3</v>
      </c>
      <c r="I65" s="230">
        <v>39</v>
      </c>
      <c r="J65" s="230">
        <v>195</v>
      </c>
      <c r="K65" s="230">
        <v>12</v>
      </c>
      <c r="L65" s="230">
        <v>0</v>
      </c>
      <c r="M65" s="230">
        <v>0</v>
      </c>
      <c r="P65" s="231" t="s">
        <v>201</v>
      </c>
      <c r="Q65" s="232">
        <f>B65/B$64</f>
        <v>4.5267489711934158E-2</v>
      </c>
      <c r="R65" s="97">
        <f t="shared" ref="R65:R75" si="51">C65/C$65</f>
        <v>1</v>
      </c>
      <c r="S65" s="106">
        <f t="shared" ref="S65:S75" si="52">D65/D$66</f>
        <v>1</v>
      </c>
      <c r="T65" s="107">
        <f t="shared" ref="T65:T75" si="53">E65/E$67</f>
        <v>1</v>
      </c>
      <c r="U65" s="98">
        <f t="shared" ref="U65:U75" si="54">F65/F$68</f>
        <v>6.3079777365491654E-2</v>
      </c>
      <c r="V65" s="98">
        <f t="shared" ref="V65:V75" si="55">G65/G$69</f>
        <v>6.798245614035088E-2</v>
      </c>
      <c r="W65" s="98">
        <f t="shared" ref="W65:W75" si="56">H65/H$70</f>
        <v>3.614457831325301E-2</v>
      </c>
      <c r="X65" s="98">
        <f t="shared" ref="X65:X75" si="57">I65/I$71</f>
        <v>0.13356164383561644</v>
      </c>
      <c r="Y65" s="98">
        <f t="shared" ref="Y65:Y75" si="58">J65/J$72</f>
        <v>0.14606741573033707</v>
      </c>
      <c r="Z65" s="98">
        <f t="shared" ref="Z65:Z75" si="59">K65/K$73</f>
        <v>2.8776978417266189E-2</v>
      </c>
      <c r="AA65" s="98">
        <f t="shared" ref="AA65:AA75" si="60">L65/L$74</f>
        <v>0</v>
      </c>
      <c r="AB65" s="98">
        <f t="shared" ref="AB65:AB75" si="61">M65/M$75</f>
        <v>0</v>
      </c>
    </row>
    <row r="66" spans="1:28" ht="32">
      <c r="A66" s="233" t="s">
        <v>212</v>
      </c>
      <c r="B66" s="230">
        <v>6</v>
      </c>
      <c r="C66" s="230">
        <v>1720</v>
      </c>
      <c r="D66" s="229">
        <v>1720</v>
      </c>
      <c r="E66" s="230">
        <v>29</v>
      </c>
      <c r="F66" s="230">
        <v>25</v>
      </c>
      <c r="G66" s="230">
        <v>22</v>
      </c>
      <c r="H66" s="230">
        <v>3</v>
      </c>
      <c r="I66" s="230">
        <v>12</v>
      </c>
      <c r="J66" s="230">
        <v>174</v>
      </c>
      <c r="K66" s="230">
        <v>9</v>
      </c>
      <c r="L66" s="230">
        <v>0</v>
      </c>
      <c r="M66" s="230">
        <v>0</v>
      </c>
      <c r="P66" s="233" t="s">
        <v>304</v>
      </c>
      <c r="Q66" s="232">
        <f t="shared" ref="Q66:Q75" si="62">B66/B$64</f>
        <v>2.4691358024691357E-2</v>
      </c>
      <c r="R66" s="98">
        <f t="shared" si="51"/>
        <v>0.59147180192572213</v>
      </c>
      <c r="S66" s="97">
        <f t="shared" si="52"/>
        <v>1</v>
      </c>
      <c r="T66" s="96">
        <f t="shared" si="53"/>
        <v>2.3829087921117501E-2</v>
      </c>
      <c r="U66" s="98">
        <f t="shared" si="54"/>
        <v>4.6382189239332093E-2</v>
      </c>
      <c r="V66" s="98">
        <f t="shared" si="55"/>
        <v>4.8245614035087717E-2</v>
      </c>
      <c r="W66" s="98">
        <f t="shared" si="56"/>
        <v>3.614457831325301E-2</v>
      </c>
      <c r="X66" s="98">
        <f t="shared" si="57"/>
        <v>4.1095890410958902E-2</v>
      </c>
      <c r="Y66" s="98">
        <f t="shared" si="58"/>
        <v>0.1303370786516854</v>
      </c>
      <c r="Z66" s="98">
        <f t="shared" si="59"/>
        <v>2.1582733812949641E-2</v>
      </c>
      <c r="AA66" s="98">
        <f t="shared" si="60"/>
        <v>0</v>
      </c>
      <c r="AB66" s="98">
        <f t="shared" si="61"/>
        <v>0</v>
      </c>
    </row>
    <row r="67" spans="1:28" ht="16">
      <c r="A67" s="228" t="s">
        <v>213</v>
      </c>
      <c r="B67" s="230">
        <v>5</v>
      </c>
      <c r="C67" s="230">
        <v>1217</v>
      </c>
      <c r="D67" s="230">
        <v>29</v>
      </c>
      <c r="E67" s="229">
        <v>1217</v>
      </c>
      <c r="F67" s="230">
        <v>9</v>
      </c>
      <c r="G67" s="230">
        <v>9</v>
      </c>
      <c r="H67" s="230">
        <v>0</v>
      </c>
      <c r="I67" s="230">
        <v>27</v>
      </c>
      <c r="J67" s="230">
        <v>21</v>
      </c>
      <c r="K67" s="230">
        <v>3</v>
      </c>
      <c r="L67" s="230">
        <v>0</v>
      </c>
      <c r="M67" s="230">
        <v>0</v>
      </c>
      <c r="P67" s="231" t="s">
        <v>305</v>
      </c>
      <c r="Q67" s="232">
        <f t="shared" si="62"/>
        <v>2.0576131687242798E-2</v>
      </c>
      <c r="R67" s="98">
        <f t="shared" si="51"/>
        <v>0.41850068775790922</v>
      </c>
      <c r="S67" s="98">
        <f t="shared" si="52"/>
        <v>1.6860465116279071E-2</v>
      </c>
      <c r="T67" s="95">
        <f t="shared" si="53"/>
        <v>1</v>
      </c>
      <c r="U67" s="98">
        <f t="shared" si="54"/>
        <v>1.6697588126159554E-2</v>
      </c>
      <c r="V67" s="98">
        <f t="shared" si="55"/>
        <v>1.9736842105263157E-2</v>
      </c>
      <c r="W67" s="98">
        <f t="shared" si="56"/>
        <v>0</v>
      </c>
      <c r="X67" s="98">
        <f t="shared" si="57"/>
        <v>9.2465753424657529E-2</v>
      </c>
      <c r="Y67" s="98">
        <f t="shared" si="58"/>
        <v>1.5730337078651686E-2</v>
      </c>
      <c r="Z67" s="98">
        <f t="shared" si="59"/>
        <v>7.1942446043165471E-3</v>
      </c>
      <c r="AA67" s="98">
        <f t="shared" si="60"/>
        <v>0</v>
      </c>
      <c r="AB67" s="98">
        <f t="shared" si="61"/>
        <v>0</v>
      </c>
    </row>
    <row r="68" spans="1:28" ht="16">
      <c r="A68" s="228" t="s">
        <v>204</v>
      </c>
      <c r="B68" s="230">
        <v>11</v>
      </c>
      <c r="C68" s="230">
        <v>34</v>
      </c>
      <c r="D68" s="230">
        <v>25</v>
      </c>
      <c r="E68" s="230">
        <v>9</v>
      </c>
      <c r="F68" s="229">
        <v>539</v>
      </c>
      <c r="G68" s="230">
        <v>456</v>
      </c>
      <c r="H68" s="230">
        <v>83</v>
      </c>
      <c r="I68" s="230">
        <v>13</v>
      </c>
      <c r="J68" s="230">
        <v>25</v>
      </c>
      <c r="K68" s="230">
        <v>4</v>
      </c>
      <c r="L68" s="230">
        <v>0</v>
      </c>
      <c r="M68" s="230">
        <v>0</v>
      </c>
      <c r="P68" s="231" t="s">
        <v>204</v>
      </c>
      <c r="Q68" s="232">
        <f t="shared" si="62"/>
        <v>4.5267489711934158E-2</v>
      </c>
      <c r="R68" s="98">
        <f t="shared" si="51"/>
        <v>1.1691884456671253E-2</v>
      </c>
      <c r="S68" s="98">
        <f t="shared" si="52"/>
        <v>1.4534883720930232E-2</v>
      </c>
      <c r="T68" s="96">
        <f t="shared" si="53"/>
        <v>7.3952341824157766E-3</v>
      </c>
      <c r="U68" s="97">
        <f t="shared" si="54"/>
        <v>1</v>
      </c>
      <c r="V68" s="106">
        <f t="shared" si="55"/>
        <v>1</v>
      </c>
      <c r="W68" s="106">
        <f t="shared" si="56"/>
        <v>1</v>
      </c>
      <c r="X68" s="98">
        <f t="shared" si="57"/>
        <v>4.4520547945205477E-2</v>
      </c>
      <c r="Y68" s="98">
        <f t="shared" si="58"/>
        <v>1.8726591760299626E-2</v>
      </c>
      <c r="Z68" s="98">
        <f t="shared" si="59"/>
        <v>9.5923261390887284E-3</v>
      </c>
      <c r="AA68" s="98">
        <f t="shared" si="60"/>
        <v>0</v>
      </c>
      <c r="AB68" s="98">
        <f t="shared" si="61"/>
        <v>0</v>
      </c>
    </row>
    <row r="69" spans="1:28" ht="16">
      <c r="A69" s="228" t="s">
        <v>205</v>
      </c>
      <c r="B69" s="230">
        <v>10</v>
      </c>
      <c r="C69" s="230">
        <v>31</v>
      </c>
      <c r="D69" s="230">
        <v>22</v>
      </c>
      <c r="E69" s="230">
        <v>9</v>
      </c>
      <c r="F69" s="230">
        <v>456</v>
      </c>
      <c r="G69" s="229">
        <v>456</v>
      </c>
      <c r="H69" s="230">
        <v>0</v>
      </c>
      <c r="I69" s="230">
        <v>13</v>
      </c>
      <c r="J69" s="230">
        <v>24</v>
      </c>
      <c r="K69" s="230">
        <v>4</v>
      </c>
      <c r="L69" s="230">
        <v>0</v>
      </c>
      <c r="M69" s="230">
        <v>0</v>
      </c>
      <c r="P69" s="231" t="s">
        <v>306</v>
      </c>
      <c r="Q69" s="232">
        <f t="shared" si="62"/>
        <v>4.1152263374485597E-2</v>
      </c>
      <c r="R69" s="98">
        <f t="shared" si="51"/>
        <v>1.0660247592847318E-2</v>
      </c>
      <c r="S69" s="98">
        <f t="shared" si="52"/>
        <v>1.2790697674418604E-2</v>
      </c>
      <c r="T69" s="96">
        <f t="shared" si="53"/>
        <v>7.3952341824157766E-3</v>
      </c>
      <c r="U69" s="98">
        <f t="shared" si="54"/>
        <v>0.84601113172541742</v>
      </c>
      <c r="V69" s="97">
        <f t="shared" si="55"/>
        <v>1</v>
      </c>
      <c r="W69" s="98">
        <f t="shared" si="56"/>
        <v>0</v>
      </c>
      <c r="X69" s="98">
        <f t="shared" si="57"/>
        <v>4.4520547945205477E-2</v>
      </c>
      <c r="Y69" s="98">
        <f t="shared" si="58"/>
        <v>1.7977528089887642E-2</v>
      </c>
      <c r="Z69" s="98">
        <f t="shared" si="59"/>
        <v>9.5923261390887284E-3</v>
      </c>
      <c r="AA69" s="98">
        <f t="shared" si="60"/>
        <v>0</v>
      </c>
      <c r="AB69" s="98">
        <f t="shared" si="61"/>
        <v>0</v>
      </c>
    </row>
    <row r="70" spans="1:28" ht="16">
      <c r="A70" s="228" t="s">
        <v>206</v>
      </c>
      <c r="B70" s="230">
        <v>1</v>
      </c>
      <c r="C70" s="230">
        <v>3</v>
      </c>
      <c r="D70" s="230">
        <v>3</v>
      </c>
      <c r="E70" s="230">
        <v>0</v>
      </c>
      <c r="F70" s="230">
        <v>83</v>
      </c>
      <c r="G70" s="230">
        <v>0</v>
      </c>
      <c r="H70" s="229">
        <v>83</v>
      </c>
      <c r="I70" s="230">
        <v>0</v>
      </c>
      <c r="J70" s="230">
        <v>1</v>
      </c>
      <c r="K70" s="230">
        <v>0</v>
      </c>
      <c r="L70" s="230">
        <v>0</v>
      </c>
      <c r="M70" s="230">
        <v>0</v>
      </c>
      <c r="P70" s="231" t="s">
        <v>307</v>
      </c>
      <c r="Q70" s="232">
        <f t="shared" si="62"/>
        <v>4.11522633744856E-3</v>
      </c>
      <c r="R70" s="98">
        <f t="shared" si="51"/>
        <v>1.0316368638239339E-3</v>
      </c>
      <c r="S70" s="98">
        <f t="shared" si="52"/>
        <v>1.7441860465116279E-3</v>
      </c>
      <c r="T70" s="96">
        <f t="shared" si="53"/>
        <v>0</v>
      </c>
      <c r="U70" s="98">
        <f t="shared" si="54"/>
        <v>0.15398886827458255</v>
      </c>
      <c r="V70" s="98">
        <f t="shared" si="55"/>
        <v>0</v>
      </c>
      <c r="W70" s="97">
        <f t="shared" si="56"/>
        <v>1</v>
      </c>
      <c r="X70" s="98">
        <f t="shared" si="57"/>
        <v>0</v>
      </c>
      <c r="Y70" s="98">
        <f t="shared" si="58"/>
        <v>7.4906367041198505E-4</v>
      </c>
      <c r="Z70" s="98">
        <f t="shared" si="59"/>
        <v>0</v>
      </c>
      <c r="AA70" s="98">
        <f t="shared" si="60"/>
        <v>0</v>
      </c>
      <c r="AB70" s="98">
        <f t="shared" si="61"/>
        <v>0</v>
      </c>
    </row>
    <row r="71" spans="1:28" ht="16">
      <c r="A71" s="228" t="s">
        <v>207</v>
      </c>
      <c r="B71" s="230">
        <v>17</v>
      </c>
      <c r="C71" s="230">
        <v>39</v>
      </c>
      <c r="D71" s="230">
        <v>12</v>
      </c>
      <c r="E71" s="230">
        <v>27</v>
      </c>
      <c r="F71" s="230">
        <v>13</v>
      </c>
      <c r="G71" s="230">
        <v>13</v>
      </c>
      <c r="H71" s="230">
        <v>0</v>
      </c>
      <c r="I71" s="229">
        <v>292</v>
      </c>
      <c r="J71" s="230">
        <v>10</v>
      </c>
      <c r="K71" s="230">
        <v>6</v>
      </c>
      <c r="L71" s="230">
        <v>2</v>
      </c>
      <c r="M71" s="230">
        <v>0</v>
      </c>
      <c r="P71" s="231" t="s">
        <v>207</v>
      </c>
      <c r="Q71" s="232">
        <f t="shared" si="62"/>
        <v>6.9958847736625515E-2</v>
      </c>
      <c r="R71" s="98">
        <f t="shared" si="51"/>
        <v>1.3411279229711142E-2</v>
      </c>
      <c r="S71" s="98">
        <f t="shared" si="52"/>
        <v>6.9767441860465115E-3</v>
      </c>
      <c r="T71" s="96">
        <f t="shared" si="53"/>
        <v>2.2185702547247329E-2</v>
      </c>
      <c r="U71" s="98">
        <f t="shared" si="54"/>
        <v>2.4118738404452691E-2</v>
      </c>
      <c r="V71" s="98">
        <f t="shared" si="55"/>
        <v>2.850877192982456E-2</v>
      </c>
      <c r="W71" s="98">
        <f t="shared" si="56"/>
        <v>0</v>
      </c>
      <c r="X71" s="97">
        <f t="shared" si="57"/>
        <v>1</v>
      </c>
      <c r="Y71" s="98">
        <f t="shared" si="58"/>
        <v>7.4906367041198503E-3</v>
      </c>
      <c r="Z71" s="98">
        <f t="shared" si="59"/>
        <v>1.4388489208633094E-2</v>
      </c>
      <c r="AA71" s="98">
        <f t="shared" si="60"/>
        <v>2.7397260273972601E-2</v>
      </c>
      <c r="AB71" s="98">
        <f t="shared" si="61"/>
        <v>0</v>
      </c>
    </row>
    <row r="72" spans="1:28" ht="16">
      <c r="A72" s="228" t="s">
        <v>208</v>
      </c>
      <c r="B72" s="230">
        <v>9</v>
      </c>
      <c r="C72" s="230">
        <v>195</v>
      </c>
      <c r="D72" s="230">
        <v>174</v>
      </c>
      <c r="E72" s="230">
        <v>21</v>
      </c>
      <c r="F72" s="230">
        <v>25</v>
      </c>
      <c r="G72" s="230">
        <v>24</v>
      </c>
      <c r="H72" s="230">
        <v>1</v>
      </c>
      <c r="I72" s="230">
        <v>10</v>
      </c>
      <c r="J72" s="229">
        <v>1335</v>
      </c>
      <c r="K72" s="230">
        <v>21</v>
      </c>
      <c r="L72" s="230">
        <v>0</v>
      </c>
      <c r="M72" s="230">
        <v>0</v>
      </c>
      <c r="P72" s="231" t="s">
        <v>208</v>
      </c>
      <c r="Q72" s="232">
        <f t="shared" si="62"/>
        <v>3.7037037037037035E-2</v>
      </c>
      <c r="R72" s="98">
        <f t="shared" si="51"/>
        <v>6.7056396148555714E-2</v>
      </c>
      <c r="S72" s="98">
        <f t="shared" si="52"/>
        <v>0.10116279069767442</v>
      </c>
      <c r="T72" s="96">
        <f t="shared" si="53"/>
        <v>1.7255546425636811E-2</v>
      </c>
      <c r="U72" s="98">
        <f t="shared" si="54"/>
        <v>4.6382189239332093E-2</v>
      </c>
      <c r="V72" s="98">
        <f t="shared" si="55"/>
        <v>5.2631578947368418E-2</v>
      </c>
      <c r="W72" s="98">
        <f t="shared" si="56"/>
        <v>1.2048192771084338E-2</v>
      </c>
      <c r="X72" s="98">
        <f t="shared" si="57"/>
        <v>3.4246575342465752E-2</v>
      </c>
      <c r="Y72" s="97">
        <f t="shared" si="58"/>
        <v>1</v>
      </c>
      <c r="Z72" s="98">
        <f t="shared" si="59"/>
        <v>5.0359712230215826E-2</v>
      </c>
      <c r="AA72" s="98">
        <f t="shared" si="60"/>
        <v>0</v>
      </c>
      <c r="AB72" s="98">
        <f t="shared" si="61"/>
        <v>0</v>
      </c>
    </row>
    <row r="73" spans="1:28" ht="16">
      <c r="A73" s="228" t="s">
        <v>214</v>
      </c>
      <c r="B73" s="230">
        <v>0</v>
      </c>
      <c r="C73" s="230">
        <v>12</v>
      </c>
      <c r="D73" s="230">
        <v>9</v>
      </c>
      <c r="E73" s="230">
        <v>3</v>
      </c>
      <c r="F73" s="230">
        <v>4</v>
      </c>
      <c r="G73" s="230">
        <v>4</v>
      </c>
      <c r="H73" s="230">
        <v>0</v>
      </c>
      <c r="I73" s="230">
        <v>6</v>
      </c>
      <c r="J73" s="230">
        <v>21</v>
      </c>
      <c r="K73" s="229">
        <v>417</v>
      </c>
      <c r="L73" s="230">
        <v>0</v>
      </c>
      <c r="M73" s="230">
        <v>0</v>
      </c>
      <c r="P73" s="231" t="s">
        <v>214</v>
      </c>
      <c r="Q73" s="232">
        <f t="shared" si="62"/>
        <v>0</v>
      </c>
      <c r="R73" s="98">
        <f t="shared" si="51"/>
        <v>4.1265474552957355E-3</v>
      </c>
      <c r="S73" s="98">
        <f t="shared" si="52"/>
        <v>5.2325581395348836E-3</v>
      </c>
      <c r="T73" s="96">
        <f t="shared" si="53"/>
        <v>2.4650780608052587E-3</v>
      </c>
      <c r="U73" s="98">
        <f t="shared" si="54"/>
        <v>7.4211502782931356E-3</v>
      </c>
      <c r="V73" s="98">
        <f t="shared" si="55"/>
        <v>8.771929824561403E-3</v>
      </c>
      <c r="W73" s="98">
        <f t="shared" si="56"/>
        <v>0</v>
      </c>
      <c r="X73" s="98">
        <f t="shared" si="57"/>
        <v>2.0547945205479451E-2</v>
      </c>
      <c r="Y73" s="98">
        <f t="shared" si="58"/>
        <v>1.5730337078651686E-2</v>
      </c>
      <c r="Z73" s="97">
        <f t="shared" si="59"/>
        <v>1</v>
      </c>
      <c r="AA73" s="98">
        <f t="shared" si="60"/>
        <v>0</v>
      </c>
      <c r="AB73" s="98">
        <f t="shared" si="61"/>
        <v>0</v>
      </c>
    </row>
    <row r="74" spans="1:28" ht="16">
      <c r="A74" s="228" t="s">
        <v>215</v>
      </c>
      <c r="B74" s="230">
        <v>2</v>
      </c>
      <c r="C74" s="230">
        <v>0</v>
      </c>
      <c r="D74" s="230">
        <v>0</v>
      </c>
      <c r="E74" s="230">
        <v>0</v>
      </c>
      <c r="F74" s="230">
        <v>0</v>
      </c>
      <c r="G74" s="230">
        <v>0</v>
      </c>
      <c r="H74" s="230">
        <v>0</v>
      </c>
      <c r="I74" s="230">
        <v>2</v>
      </c>
      <c r="J74" s="230">
        <v>0</v>
      </c>
      <c r="K74" s="230">
        <v>0</v>
      </c>
      <c r="L74" s="229">
        <v>73</v>
      </c>
      <c r="M74" s="230">
        <v>0</v>
      </c>
      <c r="P74" s="231" t="s">
        <v>215</v>
      </c>
      <c r="Q74" s="232">
        <f t="shared" si="62"/>
        <v>8.23045267489712E-3</v>
      </c>
      <c r="R74" s="98">
        <f t="shared" si="51"/>
        <v>0</v>
      </c>
      <c r="S74" s="98">
        <f t="shared" si="52"/>
        <v>0</v>
      </c>
      <c r="T74" s="96">
        <f t="shared" si="53"/>
        <v>0</v>
      </c>
      <c r="U74" s="98">
        <f t="shared" si="54"/>
        <v>0</v>
      </c>
      <c r="V74" s="98">
        <f t="shared" si="55"/>
        <v>0</v>
      </c>
      <c r="W74" s="98">
        <f t="shared" si="56"/>
        <v>0</v>
      </c>
      <c r="X74" s="98">
        <f t="shared" si="57"/>
        <v>6.8493150684931503E-3</v>
      </c>
      <c r="Y74" s="98">
        <f t="shared" si="58"/>
        <v>0</v>
      </c>
      <c r="Z74" s="98">
        <f t="shared" si="59"/>
        <v>0</v>
      </c>
      <c r="AA74" s="97">
        <f t="shared" si="60"/>
        <v>1</v>
      </c>
      <c r="AB74" s="98">
        <f t="shared" si="61"/>
        <v>0</v>
      </c>
    </row>
    <row r="75" spans="1:28" ht="33" thickBot="1">
      <c r="A75" s="228" t="s">
        <v>216</v>
      </c>
      <c r="B75" s="230">
        <v>0</v>
      </c>
      <c r="C75" s="230">
        <v>0</v>
      </c>
      <c r="D75" s="230">
        <v>0</v>
      </c>
      <c r="E75" s="230">
        <v>0</v>
      </c>
      <c r="F75" s="230">
        <v>0</v>
      </c>
      <c r="G75" s="230">
        <v>0</v>
      </c>
      <c r="H75" s="230">
        <v>0</v>
      </c>
      <c r="I75" s="230">
        <v>0</v>
      </c>
      <c r="J75" s="230">
        <v>0</v>
      </c>
      <c r="K75" s="230">
        <v>0</v>
      </c>
      <c r="L75" s="230">
        <v>0</v>
      </c>
      <c r="M75" s="229">
        <v>15</v>
      </c>
      <c r="P75" s="231" t="s">
        <v>308</v>
      </c>
      <c r="Q75" s="235">
        <f t="shared" si="62"/>
        <v>0</v>
      </c>
      <c r="R75" s="101">
        <f t="shared" si="51"/>
        <v>0</v>
      </c>
      <c r="S75" s="101">
        <f t="shared" si="52"/>
        <v>0</v>
      </c>
      <c r="T75" s="103">
        <f t="shared" si="53"/>
        <v>0</v>
      </c>
      <c r="U75" s="101">
        <f t="shared" si="54"/>
        <v>0</v>
      </c>
      <c r="V75" s="101">
        <f t="shared" si="55"/>
        <v>0</v>
      </c>
      <c r="W75" s="101">
        <f t="shared" si="56"/>
        <v>0</v>
      </c>
      <c r="X75" s="101">
        <f t="shared" si="57"/>
        <v>0</v>
      </c>
      <c r="Y75" s="101">
        <f t="shared" si="58"/>
        <v>0</v>
      </c>
      <c r="Z75" s="101">
        <f t="shared" si="59"/>
        <v>0</v>
      </c>
      <c r="AA75" s="101">
        <f t="shared" si="60"/>
        <v>0</v>
      </c>
      <c r="AB75" s="102">
        <f t="shared" si="61"/>
        <v>1</v>
      </c>
    </row>
    <row r="76" spans="1:28" ht="15">
      <c r="B76" s="227"/>
      <c r="C76" s="227"/>
      <c r="D76" s="227"/>
      <c r="E76" s="227"/>
      <c r="F76" s="227"/>
      <c r="G76" s="227"/>
      <c r="H76" s="227"/>
      <c r="I76" s="227"/>
      <c r="J76" s="227"/>
      <c r="K76" s="227"/>
      <c r="L76" s="227"/>
      <c r="M76" s="227"/>
      <c r="P76" s="236" t="s">
        <v>460</v>
      </c>
      <c r="Q76" s="238">
        <f>SUM(Q65:Q75)</f>
        <v>0.29629629629629634</v>
      </c>
      <c r="R76" s="238">
        <f>SUM(R64,R66:R75)</f>
        <v>1.1217331499312244</v>
      </c>
      <c r="S76" s="238">
        <f>SUM(S64:S65,S67:S75)</f>
        <v>1.1627906976744187</v>
      </c>
      <c r="T76" s="238">
        <f>SUM(T64:T66,T68:T75)</f>
        <v>1.084634346754314</v>
      </c>
      <c r="U76" s="238">
        <f>SUM(U64:U67,U69:U75)</f>
        <v>1.2244897959183674</v>
      </c>
      <c r="V76" s="238">
        <f>SUM(V64:V68,V70:V75)</f>
        <v>1.2478070175438596</v>
      </c>
      <c r="W76" s="238">
        <f>SUM(W64:W69,W71:W75)</f>
        <v>1.0963855421686746</v>
      </c>
      <c r="X76" s="238">
        <f>SUM(X64:X70,X72:X75)</f>
        <v>0.47602739726027399</v>
      </c>
      <c r="Y76" s="238">
        <f>SUM(Y64:Y71,Y73:Y75)</f>
        <v>0.3595505617977528</v>
      </c>
      <c r="Z76" s="238">
        <f>SUM(Z64:Z72,Z74:Z75)</f>
        <v>0.14148681055155873</v>
      </c>
      <c r="AA76" s="238">
        <f>SUM(AA64:AA73,AA75)</f>
        <v>5.4794520547945202E-2</v>
      </c>
      <c r="AB76" s="238">
        <f>SUM(AB64:AB74)</f>
        <v>0</v>
      </c>
    </row>
    <row r="77" spans="1:28" ht="12" customHeight="1">
      <c r="A77" s="58" t="s">
        <v>199</v>
      </c>
      <c r="B77" s="59" t="s">
        <v>200</v>
      </c>
      <c r="C77" s="59" t="s">
        <v>201</v>
      </c>
      <c r="D77" s="60" t="s">
        <v>298</v>
      </c>
      <c r="E77" s="60" t="s">
        <v>299</v>
      </c>
      <c r="F77" s="59" t="s">
        <v>204</v>
      </c>
      <c r="G77" s="59" t="s">
        <v>205</v>
      </c>
      <c r="H77" s="59" t="s">
        <v>206</v>
      </c>
      <c r="I77" s="59" t="s">
        <v>207</v>
      </c>
      <c r="J77" s="59" t="s">
        <v>208</v>
      </c>
      <c r="K77" s="60" t="s">
        <v>300</v>
      </c>
      <c r="L77" s="60" t="s">
        <v>301</v>
      </c>
      <c r="M77" s="60" t="s">
        <v>302</v>
      </c>
    </row>
    <row r="78" spans="1:28" ht="12" customHeight="1">
      <c r="A78" s="228" t="s">
        <v>200</v>
      </c>
      <c r="B78" s="240"/>
      <c r="C78" s="240"/>
      <c r="D78" s="240"/>
      <c r="E78" s="240"/>
      <c r="F78" s="240"/>
      <c r="G78" s="240"/>
      <c r="H78" s="240"/>
      <c r="I78" s="240"/>
      <c r="J78" s="240"/>
      <c r="K78" s="240"/>
      <c r="L78" s="240"/>
      <c r="M78" s="240"/>
    </row>
    <row r="79" spans="1:28" ht="12" customHeight="1">
      <c r="A79" s="228" t="s">
        <v>201</v>
      </c>
      <c r="B79" s="240"/>
      <c r="C79" s="240"/>
      <c r="D79" s="240"/>
      <c r="E79" s="240"/>
      <c r="F79" s="240"/>
      <c r="G79" s="240"/>
      <c r="H79" s="240"/>
      <c r="I79" s="240"/>
      <c r="J79" s="240"/>
      <c r="K79" s="240"/>
      <c r="L79" s="240"/>
      <c r="M79" s="240"/>
    </row>
    <row r="80" spans="1:28" ht="12" customHeight="1">
      <c r="A80" s="233" t="s">
        <v>212</v>
      </c>
      <c r="B80" s="240"/>
      <c r="C80" s="240"/>
      <c r="D80" s="240"/>
      <c r="E80" s="240"/>
      <c r="F80" s="240"/>
      <c r="G80" s="240"/>
      <c r="H80" s="240"/>
      <c r="I80" s="240"/>
      <c r="J80" s="240"/>
      <c r="K80" s="240"/>
      <c r="L80" s="240"/>
      <c r="M80" s="240"/>
    </row>
    <row r="81" spans="1:13" ht="12" customHeight="1">
      <c r="A81" s="228" t="s">
        <v>213</v>
      </c>
      <c r="B81" s="240"/>
      <c r="C81" s="240"/>
      <c r="D81" s="240"/>
      <c r="E81" s="240"/>
      <c r="F81" s="240"/>
      <c r="G81" s="240"/>
      <c r="H81" s="240"/>
      <c r="I81" s="240"/>
      <c r="J81" s="240"/>
      <c r="K81" s="240"/>
      <c r="L81" s="240"/>
      <c r="M81" s="240"/>
    </row>
    <row r="82" spans="1:13" ht="12" customHeight="1">
      <c r="A82" s="228" t="s">
        <v>204</v>
      </c>
      <c r="B82" s="240"/>
      <c r="C82" s="240"/>
      <c r="D82" s="240"/>
      <c r="E82" s="240"/>
      <c r="F82" s="240"/>
      <c r="G82" s="240"/>
      <c r="H82" s="240"/>
      <c r="I82" s="240"/>
      <c r="J82" s="240"/>
      <c r="K82" s="240"/>
      <c r="L82" s="240"/>
      <c r="M82" s="240"/>
    </row>
    <row r="83" spans="1:13" ht="12" customHeight="1">
      <c r="A83" s="228" t="s">
        <v>205</v>
      </c>
      <c r="B83" s="240"/>
      <c r="C83" s="240"/>
      <c r="D83" s="240"/>
      <c r="E83" s="240"/>
      <c r="F83" s="240"/>
      <c r="G83" s="240"/>
      <c r="H83" s="240"/>
      <c r="I83" s="240"/>
      <c r="J83" s="240"/>
      <c r="K83" s="240"/>
      <c r="L83" s="240"/>
      <c r="M83" s="240"/>
    </row>
    <row r="84" spans="1:13" ht="12" customHeight="1">
      <c r="A84" s="228" t="s">
        <v>206</v>
      </c>
      <c r="B84" s="240"/>
      <c r="C84" s="240"/>
      <c r="D84" s="240"/>
      <c r="E84" s="240"/>
      <c r="F84" s="240"/>
      <c r="G84" s="240"/>
      <c r="H84" s="240"/>
      <c r="I84" s="240"/>
      <c r="J84" s="240"/>
      <c r="K84" s="240"/>
      <c r="L84" s="240"/>
      <c r="M84" s="240"/>
    </row>
    <row r="85" spans="1:13" ht="12" customHeight="1">
      <c r="A85" s="228" t="s">
        <v>207</v>
      </c>
      <c r="B85" s="240"/>
      <c r="C85" s="240"/>
      <c r="D85" s="240"/>
      <c r="E85" s="240"/>
      <c r="F85" s="240"/>
      <c r="G85" s="240"/>
      <c r="H85" s="240"/>
      <c r="I85" s="240"/>
      <c r="J85" s="240"/>
      <c r="K85" s="240"/>
      <c r="L85" s="240"/>
      <c r="M85" s="240"/>
    </row>
    <row r="86" spans="1:13" ht="12" customHeight="1">
      <c r="A86" s="228" t="s">
        <v>208</v>
      </c>
      <c r="B86" s="240"/>
      <c r="C86" s="240"/>
      <c r="D86" s="240"/>
      <c r="E86" s="240"/>
      <c r="F86" s="240"/>
      <c r="G86" s="240"/>
      <c r="H86" s="240"/>
      <c r="I86" s="240"/>
      <c r="J86" s="240"/>
      <c r="K86" s="240"/>
      <c r="L86" s="240"/>
      <c r="M86" s="240"/>
    </row>
    <row r="87" spans="1:13" ht="12" customHeight="1">
      <c r="A87" s="228" t="s">
        <v>214</v>
      </c>
      <c r="B87" s="240"/>
      <c r="C87" s="240"/>
      <c r="D87" s="240"/>
      <c r="E87" s="240"/>
      <c r="F87" s="240"/>
      <c r="G87" s="240"/>
      <c r="H87" s="240"/>
      <c r="I87" s="240"/>
      <c r="J87" s="240"/>
      <c r="K87" s="240"/>
      <c r="L87" s="240"/>
      <c r="M87" s="240"/>
    </row>
    <row r="88" spans="1:13" ht="12" customHeight="1">
      <c r="A88" s="228" t="s">
        <v>215</v>
      </c>
      <c r="B88" s="240"/>
      <c r="C88" s="240"/>
      <c r="D88" s="240"/>
      <c r="E88" s="240"/>
      <c r="F88" s="240"/>
      <c r="G88" s="240"/>
      <c r="H88" s="240"/>
      <c r="I88" s="240"/>
      <c r="J88" s="240"/>
      <c r="K88" s="240"/>
      <c r="L88" s="240"/>
      <c r="M88" s="240"/>
    </row>
    <row r="89" spans="1:13" ht="12" customHeight="1">
      <c r="A89" s="228" t="s">
        <v>216</v>
      </c>
      <c r="B89" s="240"/>
      <c r="C89" s="240"/>
      <c r="D89" s="240"/>
      <c r="E89" s="240"/>
      <c r="F89" s="240"/>
      <c r="G89" s="240"/>
      <c r="H89" s="240"/>
      <c r="I89" s="240"/>
      <c r="J89" s="240"/>
      <c r="K89" s="240"/>
      <c r="L89" s="240"/>
      <c r="M89" s="240"/>
    </row>
    <row r="90" spans="1:13" ht="12" customHeight="1">
      <c r="B90" s="227" t="str">
        <f>[1]Table_4.0_Information!$A$10</f>
        <v>7 add state in table 0</v>
      </c>
      <c r="C90" s="227"/>
      <c r="D90" s="227"/>
      <c r="E90" s="227"/>
      <c r="F90" s="227"/>
      <c r="G90" s="227"/>
      <c r="H90" s="227"/>
      <c r="I90" s="227"/>
      <c r="J90" s="227"/>
      <c r="K90" s="227"/>
      <c r="L90" s="227"/>
      <c r="M90" s="227"/>
    </row>
    <row r="91" spans="1:13" ht="12" customHeight="1">
      <c r="A91" s="58" t="s">
        <v>199</v>
      </c>
      <c r="B91" s="59" t="s">
        <v>200</v>
      </c>
      <c r="C91" s="59" t="s">
        <v>201</v>
      </c>
      <c r="D91" s="60" t="s">
        <v>298</v>
      </c>
      <c r="E91" s="60" t="s">
        <v>299</v>
      </c>
      <c r="F91" s="59" t="s">
        <v>204</v>
      </c>
      <c r="G91" s="59" t="s">
        <v>205</v>
      </c>
      <c r="H91" s="59" t="s">
        <v>206</v>
      </c>
      <c r="I91" s="59" t="s">
        <v>207</v>
      </c>
      <c r="J91" s="59" t="s">
        <v>208</v>
      </c>
      <c r="K91" s="60" t="s">
        <v>300</v>
      </c>
      <c r="L91" s="60" t="s">
        <v>301</v>
      </c>
      <c r="M91" s="60" t="s">
        <v>302</v>
      </c>
    </row>
    <row r="92" spans="1:13" ht="12" customHeight="1">
      <c r="A92" s="228" t="s">
        <v>200</v>
      </c>
      <c r="B92" s="240"/>
      <c r="C92" s="240"/>
      <c r="D92" s="240"/>
      <c r="E92" s="240"/>
      <c r="F92" s="240"/>
      <c r="G92" s="240"/>
      <c r="H92" s="240"/>
      <c r="I92" s="240"/>
      <c r="J92" s="240"/>
      <c r="K92" s="240"/>
      <c r="L92" s="240"/>
      <c r="M92" s="240"/>
    </row>
    <row r="93" spans="1:13" ht="12" customHeight="1">
      <c r="A93" s="228" t="s">
        <v>201</v>
      </c>
      <c r="B93" s="240"/>
      <c r="C93" s="240"/>
      <c r="D93" s="240"/>
      <c r="E93" s="240"/>
      <c r="F93" s="240"/>
      <c r="G93" s="240"/>
      <c r="H93" s="240"/>
      <c r="I93" s="240"/>
      <c r="J93" s="240"/>
      <c r="K93" s="240"/>
      <c r="L93" s="240"/>
      <c r="M93" s="240"/>
    </row>
    <row r="94" spans="1:13" ht="12" customHeight="1">
      <c r="A94" s="233" t="s">
        <v>212</v>
      </c>
      <c r="B94" s="240"/>
      <c r="C94" s="240"/>
      <c r="D94" s="240"/>
      <c r="E94" s="240"/>
      <c r="F94" s="240"/>
      <c r="G94" s="240"/>
      <c r="H94" s="240"/>
      <c r="I94" s="240"/>
      <c r="J94" s="240"/>
      <c r="K94" s="240"/>
      <c r="L94" s="240"/>
      <c r="M94" s="240"/>
    </row>
    <row r="95" spans="1:13" ht="12" customHeight="1">
      <c r="A95" s="228" t="s">
        <v>213</v>
      </c>
      <c r="B95" s="240"/>
      <c r="C95" s="240"/>
      <c r="D95" s="240"/>
      <c r="E95" s="240"/>
      <c r="F95" s="240"/>
      <c r="G95" s="240"/>
      <c r="H95" s="240"/>
      <c r="I95" s="240"/>
      <c r="J95" s="240"/>
      <c r="K95" s="240"/>
      <c r="L95" s="240"/>
      <c r="M95" s="240"/>
    </row>
    <row r="96" spans="1:13" ht="12" customHeight="1">
      <c r="A96" s="228" t="s">
        <v>204</v>
      </c>
      <c r="B96" s="240"/>
      <c r="C96" s="240"/>
      <c r="D96" s="240"/>
      <c r="E96" s="240"/>
      <c r="F96" s="240"/>
      <c r="G96" s="240"/>
      <c r="H96" s="240"/>
      <c r="I96" s="240"/>
      <c r="J96" s="240"/>
      <c r="K96" s="240"/>
      <c r="L96" s="240"/>
      <c r="M96" s="240"/>
    </row>
    <row r="97" spans="1:13" ht="12" customHeight="1">
      <c r="A97" s="228" t="s">
        <v>205</v>
      </c>
      <c r="B97" s="240"/>
      <c r="C97" s="240"/>
      <c r="D97" s="240"/>
      <c r="E97" s="240"/>
      <c r="F97" s="240"/>
      <c r="G97" s="240"/>
      <c r="H97" s="240"/>
      <c r="I97" s="240"/>
      <c r="J97" s="240"/>
      <c r="K97" s="240"/>
      <c r="L97" s="240"/>
      <c r="M97" s="240"/>
    </row>
    <row r="98" spans="1:13" ht="12" customHeight="1">
      <c r="A98" s="228" t="s">
        <v>206</v>
      </c>
      <c r="B98" s="240"/>
      <c r="C98" s="240"/>
      <c r="D98" s="240"/>
      <c r="E98" s="240"/>
      <c r="F98" s="240"/>
      <c r="G98" s="240"/>
      <c r="H98" s="240"/>
      <c r="I98" s="240"/>
      <c r="J98" s="240"/>
      <c r="K98" s="240"/>
      <c r="L98" s="240"/>
      <c r="M98" s="240"/>
    </row>
    <row r="99" spans="1:13" ht="12" customHeight="1">
      <c r="A99" s="228" t="s">
        <v>207</v>
      </c>
      <c r="B99" s="240"/>
      <c r="C99" s="240"/>
      <c r="D99" s="240"/>
      <c r="E99" s="240"/>
      <c r="F99" s="240"/>
      <c r="G99" s="240"/>
      <c r="H99" s="240"/>
      <c r="I99" s="240"/>
      <c r="J99" s="240"/>
      <c r="K99" s="240"/>
      <c r="L99" s="240"/>
      <c r="M99" s="240"/>
    </row>
    <row r="100" spans="1:13" ht="12" customHeight="1">
      <c r="A100" s="228" t="s">
        <v>208</v>
      </c>
      <c r="B100" s="240"/>
      <c r="C100" s="240"/>
      <c r="D100" s="240"/>
      <c r="E100" s="240"/>
      <c r="F100" s="240"/>
      <c r="G100" s="240"/>
      <c r="H100" s="240"/>
      <c r="I100" s="240"/>
      <c r="J100" s="240"/>
      <c r="K100" s="240"/>
      <c r="L100" s="240"/>
      <c r="M100" s="240"/>
    </row>
    <row r="101" spans="1:13" ht="12" customHeight="1">
      <c r="A101" s="228" t="s">
        <v>214</v>
      </c>
      <c r="B101" s="240"/>
      <c r="C101" s="240"/>
      <c r="D101" s="240"/>
      <c r="E101" s="240"/>
      <c r="F101" s="240"/>
      <c r="G101" s="240"/>
      <c r="H101" s="240"/>
      <c r="I101" s="240"/>
      <c r="J101" s="240"/>
      <c r="K101" s="240"/>
      <c r="L101" s="240"/>
      <c r="M101" s="240"/>
    </row>
    <row r="102" spans="1:13" ht="12" customHeight="1">
      <c r="A102" s="228" t="s">
        <v>215</v>
      </c>
      <c r="B102" s="240"/>
      <c r="C102" s="240"/>
      <c r="D102" s="240"/>
      <c r="E102" s="240"/>
      <c r="F102" s="240"/>
      <c r="G102" s="240"/>
      <c r="H102" s="240"/>
      <c r="I102" s="240"/>
      <c r="J102" s="240"/>
      <c r="K102" s="240"/>
      <c r="L102" s="240"/>
      <c r="M102" s="240"/>
    </row>
    <row r="103" spans="1:13" ht="12" customHeight="1">
      <c r="A103" s="228" t="s">
        <v>216</v>
      </c>
      <c r="B103" s="240"/>
      <c r="C103" s="240"/>
      <c r="D103" s="240"/>
      <c r="E103" s="240"/>
      <c r="F103" s="240"/>
      <c r="G103" s="240"/>
      <c r="H103" s="240"/>
      <c r="I103" s="240"/>
      <c r="J103" s="240"/>
      <c r="K103" s="240"/>
      <c r="L103" s="240"/>
      <c r="M103" s="240"/>
    </row>
    <row r="104" spans="1:13" ht="12" customHeight="1">
      <c r="B104" s="227" t="str">
        <f>[1]Table_4.0_Information!$A$11</f>
        <v>8 add state in table 0</v>
      </c>
      <c r="C104" s="227"/>
      <c r="D104" s="227"/>
      <c r="E104" s="227"/>
      <c r="F104" s="227"/>
      <c r="G104" s="227"/>
      <c r="H104" s="227"/>
      <c r="I104" s="227"/>
      <c r="J104" s="227"/>
      <c r="K104" s="227"/>
      <c r="L104" s="227"/>
      <c r="M104" s="227"/>
    </row>
    <row r="105" spans="1:13" ht="12" customHeight="1">
      <c r="A105" s="58" t="s">
        <v>199</v>
      </c>
      <c r="B105" s="59" t="s">
        <v>200</v>
      </c>
      <c r="C105" s="59" t="s">
        <v>201</v>
      </c>
      <c r="D105" s="60" t="s">
        <v>298</v>
      </c>
      <c r="E105" s="60" t="s">
        <v>299</v>
      </c>
      <c r="F105" s="59" t="s">
        <v>204</v>
      </c>
      <c r="G105" s="59" t="s">
        <v>205</v>
      </c>
      <c r="H105" s="59" t="s">
        <v>206</v>
      </c>
      <c r="I105" s="59" t="s">
        <v>207</v>
      </c>
      <c r="J105" s="59" t="s">
        <v>208</v>
      </c>
      <c r="K105" s="60" t="s">
        <v>300</v>
      </c>
      <c r="L105" s="60" t="s">
        <v>301</v>
      </c>
      <c r="M105" s="60" t="s">
        <v>302</v>
      </c>
    </row>
    <row r="106" spans="1:13" ht="12" customHeight="1">
      <c r="A106" s="228" t="s">
        <v>200</v>
      </c>
      <c r="B106" s="240"/>
      <c r="C106" s="240"/>
      <c r="D106" s="240"/>
      <c r="E106" s="240"/>
      <c r="F106" s="240"/>
      <c r="G106" s="240"/>
      <c r="H106" s="240"/>
      <c r="I106" s="240"/>
      <c r="J106" s="240"/>
      <c r="K106" s="240"/>
      <c r="L106" s="240"/>
      <c r="M106" s="240"/>
    </row>
    <row r="107" spans="1:13" ht="12" customHeight="1">
      <c r="A107" s="228" t="s">
        <v>201</v>
      </c>
      <c r="B107" s="240"/>
      <c r="C107" s="240"/>
      <c r="D107" s="240"/>
      <c r="E107" s="240"/>
      <c r="F107" s="240"/>
      <c r="G107" s="240"/>
      <c r="H107" s="240"/>
      <c r="I107" s="240"/>
      <c r="J107" s="240"/>
      <c r="K107" s="240"/>
      <c r="L107" s="240"/>
      <c r="M107" s="240"/>
    </row>
    <row r="108" spans="1:13" ht="12" customHeight="1">
      <c r="A108" s="233" t="s">
        <v>212</v>
      </c>
      <c r="B108" s="240"/>
      <c r="C108" s="240"/>
      <c r="D108" s="240"/>
      <c r="E108" s="240"/>
      <c r="F108" s="240"/>
      <c r="G108" s="240"/>
      <c r="H108" s="240"/>
      <c r="I108" s="240"/>
      <c r="J108" s="240"/>
      <c r="K108" s="240"/>
      <c r="L108" s="240"/>
      <c r="M108" s="240"/>
    </row>
    <row r="109" spans="1:13" ht="12" customHeight="1">
      <c r="A109" s="228" t="s">
        <v>213</v>
      </c>
      <c r="B109" s="240"/>
      <c r="C109" s="240"/>
      <c r="D109" s="240"/>
      <c r="E109" s="240"/>
      <c r="F109" s="240"/>
      <c r="G109" s="240"/>
      <c r="H109" s="240"/>
      <c r="I109" s="240"/>
      <c r="J109" s="240"/>
      <c r="K109" s="240"/>
      <c r="L109" s="240"/>
      <c r="M109" s="240"/>
    </row>
    <row r="110" spans="1:13" ht="12" customHeight="1">
      <c r="A110" s="228" t="s">
        <v>204</v>
      </c>
      <c r="B110" s="240"/>
      <c r="C110" s="240"/>
      <c r="D110" s="240"/>
      <c r="E110" s="240"/>
      <c r="F110" s="240"/>
      <c r="G110" s="240"/>
      <c r="H110" s="240"/>
      <c r="I110" s="240"/>
      <c r="J110" s="240"/>
      <c r="K110" s="240"/>
      <c r="L110" s="240"/>
      <c r="M110" s="240"/>
    </row>
    <row r="111" spans="1:13" ht="12" customHeight="1">
      <c r="A111" s="228" t="s">
        <v>205</v>
      </c>
      <c r="B111" s="240"/>
      <c r="C111" s="240"/>
      <c r="D111" s="240"/>
      <c r="E111" s="240"/>
      <c r="F111" s="240"/>
      <c r="G111" s="240"/>
      <c r="H111" s="240"/>
      <c r="I111" s="240"/>
      <c r="J111" s="240"/>
      <c r="K111" s="240"/>
      <c r="L111" s="240"/>
      <c r="M111" s="240"/>
    </row>
    <row r="112" spans="1:13" ht="12" customHeight="1">
      <c r="A112" s="228" t="s">
        <v>206</v>
      </c>
      <c r="B112" s="240"/>
      <c r="C112" s="240"/>
      <c r="D112" s="240"/>
      <c r="E112" s="240"/>
      <c r="F112" s="240"/>
      <c r="G112" s="240"/>
      <c r="H112" s="240"/>
      <c r="I112" s="240"/>
      <c r="J112" s="240"/>
      <c r="K112" s="240"/>
      <c r="L112" s="240"/>
      <c r="M112" s="240"/>
    </row>
    <row r="113" spans="1:13" ht="12" customHeight="1">
      <c r="A113" s="228" t="s">
        <v>207</v>
      </c>
      <c r="B113" s="240"/>
      <c r="C113" s="240"/>
      <c r="D113" s="240"/>
      <c r="E113" s="240"/>
      <c r="F113" s="240"/>
      <c r="G113" s="240"/>
      <c r="H113" s="240"/>
      <c r="I113" s="240"/>
      <c r="J113" s="240"/>
      <c r="K113" s="240"/>
      <c r="L113" s="240"/>
      <c r="M113" s="240"/>
    </row>
    <row r="114" spans="1:13" ht="12" customHeight="1">
      <c r="A114" s="228" t="s">
        <v>208</v>
      </c>
      <c r="B114" s="240"/>
      <c r="C114" s="240"/>
      <c r="D114" s="240"/>
      <c r="E114" s="240"/>
      <c r="F114" s="240"/>
      <c r="G114" s="240"/>
      <c r="H114" s="240"/>
      <c r="I114" s="240"/>
      <c r="J114" s="240"/>
      <c r="K114" s="240"/>
      <c r="L114" s="240"/>
      <c r="M114" s="240"/>
    </row>
    <row r="115" spans="1:13" ht="12" customHeight="1">
      <c r="A115" s="228" t="s">
        <v>214</v>
      </c>
      <c r="B115" s="240"/>
      <c r="C115" s="240"/>
      <c r="D115" s="240"/>
      <c r="E115" s="240"/>
      <c r="F115" s="240"/>
      <c r="G115" s="240"/>
      <c r="H115" s="240"/>
      <c r="I115" s="240"/>
      <c r="J115" s="240"/>
      <c r="K115" s="240"/>
      <c r="L115" s="240"/>
      <c r="M115" s="240"/>
    </row>
    <row r="116" spans="1:13" ht="12" customHeight="1">
      <c r="A116" s="228" t="s">
        <v>215</v>
      </c>
      <c r="B116" s="240"/>
      <c r="C116" s="240"/>
      <c r="D116" s="240"/>
      <c r="E116" s="240"/>
      <c r="F116" s="240"/>
      <c r="G116" s="240"/>
      <c r="H116" s="240"/>
      <c r="I116" s="240"/>
      <c r="J116" s="240"/>
      <c r="K116" s="240"/>
      <c r="L116" s="240"/>
      <c r="M116" s="240"/>
    </row>
    <row r="117" spans="1:13" ht="12" customHeight="1">
      <c r="A117" s="228" t="s">
        <v>216</v>
      </c>
      <c r="B117" s="240"/>
      <c r="C117" s="240"/>
      <c r="D117" s="240"/>
      <c r="E117" s="240"/>
      <c r="F117" s="240"/>
      <c r="G117" s="240"/>
      <c r="H117" s="240"/>
      <c r="I117" s="240"/>
      <c r="J117" s="240"/>
      <c r="K117" s="240"/>
      <c r="L117" s="240"/>
      <c r="M117" s="240"/>
    </row>
    <row r="118" spans="1:13" ht="12" customHeight="1">
      <c r="B118" s="227" t="str">
        <f>[1]Table_4.0_Information!$A$12</f>
        <v>9 add state in table 0</v>
      </c>
      <c r="C118" s="227"/>
      <c r="D118" s="227"/>
      <c r="E118" s="227"/>
      <c r="F118" s="227"/>
      <c r="G118" s="227"/>
      <c r="H118" s="227"/>
      <c r="I118" s="227"/>
      <c r="J118" s="227"/>
      <c r="K118" s="227"/>
      <c r="L118" s="227"/>
      <c r="M118" s="227"/>
    </row>
    <row r="119" spans="1:13" ht="12" customHeight="1">
      <c r="A119" s="58" t="s">
        <v>199</v>
      </c>
      <c r="B119" s="59" t="s">
        <v>200</v>
      </c>
      <c r="C119" s="59" t="s">
        <v>201</v>
      </c>
      <c r="D119" s="60" t="s">
        <v>298</v>
      </c>
      <c r="E119" s="60" t="s">
        <v>299</v>
      </c>
      <c r="F119" s="59" t="s">
        <v>204</v>
      </c>
      <c r="G119" s="59" t="s">
        <v>205</v>
      </c>
      <c r="H119" s="59" t="s">
        <v>206</v>
      </c>
      <c r="I119" s="59" t="s">
        <v>207</v>
      </c>
      <c r="J119" s="59" t="s">
        <v>208</v>
      </c>
      <c r="K119" s="60" t="s">
        <v>300</v>
      </c>
      <c r="L119" s="60" t="s">
        <v>301</v>
      </c>
      <c r="M119" s="60" t="s">
        <v>302</v>
      </c>
    </row>
    <row r="120" spans="1:13" ht="12" customHeight="1">
      <c r="A120" s="228" t="s">
        <v>200</v>
      </c>
      <c r="B120" s="240"/>
      <c r="C120" s="240"/>
      <c r="D120" s="240"/>
      <c r="E120" s="240"/>
      <c r="F120" s="240"/>
      <c r="G120" s="240"/>
      <c r="H120" s="240"/>
      <c r="I120" s="240"/>
      <c r="J120" s="240"/>
      <c r="K120" s="240"/>
      <c r="L120" s="240"/>
      <c r="M120" s="240"/>
    </row>
    <row r="121" spans="1:13" ht="12" customHeight="1">
      <c r="A121" s="228" t="s">
        <v>201</v>
      </c>
      <c r="B121" s="240"/>
      <c r="C121" s="240"/>
      <c r="D121" s="240"/>
      <c r="E121" s="240"/>
      <c r="F121" s="240"/>
      <c r="G121" s="240"/>
      <c r="H121" s="240"/>
      <c r="I121" s="240"/>
      <c r="J121" s="240"/>
      <c r="K121" s="240"/>
      <c r="L121" s="240"/>
      <c r="M121" s="240"/>
    </row>
    <row r="122" spans="1:13" ht="12" customHeight="1">
      <c r="A122" s="233" t="s">
        <v>212</v>
      </c>
      <c r="B122" s="240"/>
      <c r="C122" s="240"/>
      <c r="D122" s="240"/>
      <c r="E122" s="240"/>
      <c r="F122" s="240"/>
      <c r="G122" s="240"/>
      <c r="H122" s="240"/>
      <c r="I122" s="240"/>
      <c r="J122" s="240"/>
      <c r="K122" s="240"/>
      <c r="L122" s="240"/>
      <c r="M122" s="240"/>
    </row>
    <row r="123" spans="1:13" ht="12" customHeight="1">
      <c r="A123" s="228" t="s">
        <v>213</v>
      </c>
      <c r="B123" s="240"/>
      <c r="C123" s="240"/>
      <c r="D123" s="240"/>
      <c r="E123" s="240"/>
      <c r="F123" s="240"/>
      <c r="G123" s="240"/>
      <c r="H123" s="240"/>
      <c r="I123" s="240"/>
      <c r="J123" s="240"/>
      <c r="K123" s="240"/>
      <c r="L123" s="240"/>
      <c r="M123" s="240"/>
    </row>
    <row r="124" spans="1:13" ht="12" customHeight="1">
      <c r="A124" s="228" t="s">
        <v>204</v>
      </c>
      <c r="B124" s="240"/>
      <c r="C124" s="240"/>
      <c r="D124" s="240"/>
      <c r="E124" s="240"/>
      <c r="F124" s="240"/>
      <c r="G124" s="240"/>
      <c r="H124" s="240"/>
      <c r="I124" s="240"/>
      <c r="J124" s="240"/>
      <c r="K124" s="240"/>
      <c r="L124" s="240"/>
      <c r="M124" s="240"/>
    </row>
    <row r="125" spans="1:13" ht="12" customHeight="1">
      <c r="A125" s="228" t="s">
        <v>205</v>
      </c>
      <c r="B125" s="240"/>
      <c r="C125" s="240"/>
      <c r="D125" s="240"/>
      <c r="E125" s="240"/>
      <c r="F125" s="240"/>
      <c r="G125" s="240"/>
      <c r="H125" s="240"/>
      <c r="I125" s="240"/>
      <c r="J125" s="240"/>
      <c r="K125" s="240"/>
      <c r="L125" s="240"/>
      <c r="M125" s="240"/>
    </row>
    <row r="126" spans="1:13" ht="12" customHeight="1">
      <c r="A126" s="228" t="s">
        <v>206</v>
      </c>
      <c r="B126" s="240"/>
      <c r="C126" s="240"/>
      <c r="D126" s="240"/>
      <c r="E126" s="240"/>
      <c r="F126" s="240"/>
      <c r="G126" s="240"/>
      <c r="H126" s="240"/>
      <c r="I126" s="240"/>
      <c r="J126" s="240"/>
      <c r="K126" s="240"/>
      <c r="L126" s="240"/>
      <c r="M126" s="240"/>
    </row>
    <row r="127" spans="1:13" ht="12" customHeight="1">
      <c r="A127" s="228" t="s">
        <v>207</v>
      </c>
      <c r="B127" s="240"/>
      <c r="C127" s="240"/>
      <c r="D127" s="240"/>
      <c r="E127" s="240"/>
      <c r="F127" s="240"/>
      <c r="G127" s="240"/>
      <c r="H127" s="240"/>
      <c r="I127" s="240"/>
      <c r="J127" s="240"/>
      <c r="K127" s="240"/>
      <c r="L127" s="240"/>
      <c r="M127" s="240"/>
    </row>
    <row r="128" spans="1:13" ht="12" customHeight="1">
      <c r="A128" s="228" t="s">
        <v>208</v>
      </c>
      <c r="B128" s="240"/>
      <c r="C128" s="240"/>
      <c r="D128" s="240"/>
      <c r="E128" s="240"/>
      <c r="F128" s="240"/>
      <c r="G128" s="240"/>
      <c r="H128" s="240"/>
      <c r="I128" s="240"/>
      <c r="J128" s="240"/>
      <c r="K128" s="240"/>
      <c r="L128" s="240"/>
      <c r="M128" s="240"/>
    </row>
    <row r="129" spans="1:13" ht="12" customHeight="1">
      <c r="A129" s="228" t="s">
        <v>214</v>
      </c>
      <c r="B129" s="240"/>
      <c r="C129" s="240"/>
      <c r="D129" s="240"/>
      <c r="E129" s="240"/>
      <c r="F129" s="240"/>
      <c r="G129" s="240"/>
      <c r="H129" s="240"/>
      <c r="I129" s="240"/>
      <c r="J129" s="240"/>
      <c r="K129" s="240"/>
      <c r="L129" s="240"/>
      <c r="M129" s="240"/>
    </row>
    <row r="130" spans="1:13" ht="12" customHeight="1">
      <c r="A130" s="228" t="s">
        <v>215</v>
      </c>
      <c r="B130" s="240"/>
      <c r="C130" s="240"/>
      <c r="D130" s="240"/>
      <c r="E130" s="240"/>
      <c r="F130" s="240"/>
      <c r="G130" s="240"/>
      <c r="H130" s="240"/>
      <c r="I130" s="240"/>
      <c r="J130" s="240"/>
      <c r="K130" s="240"/>
      <c r="L130" s="240"/>
      <c r="M130" s="240"/>
    </row>
    <row r="131" spans="1:13" ht="12" customHeight="1">
      <c r="A131" s="228" t="s">
        <v>216</v>
      </c>
      <c r="B131" s="240"/>
      <c r="C131" s="240"/>
      <c r="D131" s="240"/>
      <c r="E131" s="240"/>
      <c r="F131" s="240"/>
      <c r="G131" s="240"/>
      <c r="H131" s="240"/>
      <c r="I131" s="240"/>
      <c r="J131" s="240"/>
      <c r="K131" s="240"/>
      <c r="L131" s="240"/>
      <c r="M131" s="240"/>
    </row>
    <row r="132" spans="1:13" ht="12" customHeight="1">
      <c r="B132" s="227" t="str">
        <f>[1]Table_4.0_Information!$A$13</f>
        <v>10 add state in table 0</v>
      </c>
      <c r="C132" s="227"/>
      <c r="D132" s="227"/>
      <c r="E132" s="227"/>
      <c r="F132" s="227"/>
      <c r="G132" s="227"/>
      <c r="H132" s="227"/>
      <c r="I132" s="227"/>
      <c r="J132" s="227"/>
      <c r="K132" s="227"/>
      <c r="L132" s="227"/>
      <c r="M132" s="227"/>
    </row>
    <row r="133" spans="1:13" ht="12" customHeight="1">
      <c r="A133" s="58" t="s">
        <v>199</v>
      </c>
      <c r="B133" s="59" t="s">
        <v>200</v>
      </c>
      <c r="C133" s="59" t="s">
        <v>201</v>
      </c>
      <c r="D133" s="60" t="s">
        <v>298</v>
      </c>
      <c r="E133" s="60" t="s">
        <v>299</v>
      </c>
      <c r="F133" s="59" t="s">
        <v>204</v>
      </c>
      <c r="G133" s="59" t="s">
        <v>205</v>
      </c>
      <c r="H133" s="59" t="s">
        <v>206</v>
      </c>
      <c r="I133" s="59" t="s">
        <v>207</v>
      </c>
      <c r="J133" s="59" t="s">
        <v>208</v>
      </c>
      <c r="K133" s="60" t="s">
        <v>300</v>
      </c>
      <c r="L133" s="60" t="s">
        <v>301</v>
      </c>
      <c r="M133" s="60" t="s">
        <v>302</v>
      </c>
    </row>
    <row r="134" spans="1:13" ht="12" customHeight="1">
      <c r="A134" s="228" t="s">
        <v>200</v>
      </c>
      <c r="B134" s="240"/>
      <c r="C134" s="240"/>
      <c r="D134" s="240"/>
      <c r="E134" s="240"/>
      <c r="F134" s="240"/>
      <c r="G134" s="240"/>
      <c r="H134" s="240"/>
      <c r="I134" s="240"/>
      <c r="J134" s="240"/>
      <c r="K134" s="240"/>
      <c r="L134" s="240"/>
      <c r="M134" s="240"/>
    </row>
    <row r="135" spans="1:13" ht="12" customHeight="1">
      <c r="A135" s="228" t="s">
        <v>201</v>
      </c>
      <c r="B135" s="240"/>
      <c r="C135" s="240"/>
      <c r="D135" s="240"/>
      <c r="E135" s="240"/>
      <c r="F135" s="240"/>
      <c r="G135" s="240"/>
      <c r="H135" s="240"/>
      <c r="I135" s="240"/>
      <c r="J135" s="240"/>
      <c r="K135" s="240"/>
      <c r="L135" s="240"/>
      <c r="M135" s="240"/>
    </row>
    <row r="136" spans="1:13" ht="12" customHeight="1">
      <c r="A136" s="233" t="s">
        <v>212</v>
      </c>
      <c r="B136" s="240"/>
      <c r="C136" s="240"/>
      <c r="D136" s="240"/>
      <c r="E136" s="240"/>
      <c r="F136" s="240"/>
      <c r="G136" s="240"/>
      <c r="H136" s="240"/>
      <c r="I136" s="240"/>
      <c r="J136" s="240"/>
      <c r="K136" s="240"/>
      <c r="L136" s="240"/>
      <c r="M136" s="240"/>
    </row>
    <row r="137" spans="1:13" ht="12" customHeight="1">
      <c r="A137" s="228" t="s">
        <v>213</v>
      </c>
      <c r="B137" s="240"/>
      <c r="C137" s="240"/>
      <c r="D137" s="240"/>
      <c r="E137" s="240"/>
      <c r="F137" s="240"/>
      <c r="G137" s="240"/>
      <c r="H137" s="240"/>
      <c r="I137" s="240"/>
      <c r="J137" s="240"/>
      <c r="K137" s="240"/>
      <c r="L137" s="240"/>
      <c r="M137" s="240"/>
    </row>
    <row r="138" spans="1:13" ht="12" customHeight="1">
      <c r="A138" s="228" t="s">
        <v>204</v>
      </c>
      <c r="B138" s="240"/>
      <c r="C138" s="240"/>
      <c r="D138" s="240"/>
      <c r="E138" s="240"/>
      <c r="F138" s="240"/>
      <c r="G138" s="240"/>
      <c r="H138" s="240"/>
      <c r="I138" s="240"/>
      <c r="J138" s="240"/>
      <c r="K138" s="240"/>
      <c r="L138" s="240"/>
      <c r="M138" s="240"/>
    </row>
    <row r="139" spans="1:13" ht="12" customHeight="1">
      <c r="A139" s="228" t="s">
        <v>205</v>
      </c>
      <c r="B139" s="240"/>
      <c r="C139" s="240"/>
      <c r="D139" s="240"/>
      <c r="E139" s="240"/>
      <c r="F139" s="240"/>
      <c r="G139" s="240"/>
      <c r="H139" s="240"/>
      <c r="I139" s="240"/>
      <c r="J139" s="240"/>
      <c r="K139" s="240"/>
      <c r="L139" s="240"/>
      <c r="M139" s="240"/>
    </row>
    <row r="140" spans="1:13" ht="12" customHeight="1">
      <c r="A140" s="228" t="s">
        <v>206</v>
      </c>
      <c r="B140" s="240"/>
      <c r="C140" s="240"/>
      <c r="D140" s="240"/>
      <c r="E140" s="240"/>
      <c r="F140" s="240"/>
      <c r="G140" s="240"/>
      <c r="H140" s="240"/>
      <c r="I140" s="240"/>
      <c r="J140" s="240"/>
      <c r="K140" s="240"/>
      <c r="L140" s="240"/>
      <c r="M140" s="240"/>
    </row>
    <row r="141" spans="1:13" ht="12" customHeight="1">
      <c r="A141" s="228" t="s">
        <v>207</v>
      </c>
      <c r="B141" s="240"/>
      <c r="C141" s="240"/>
      <c r="D141" s="240"/>
      <c r="E141" s="240"/>
      <c r="F141" s="240"/>
      <c r="G141" s="240"/>
      <c r="H141" s="240"/>
      <c r="I141" s="240"/>
      <c r="J141" s="240"/>
      <c r="K141" s="240"/>
      <c r="L141" s="240"/>
      <c r="M141" s="240"/>
    </row>
    <row r="142" spans="1:13" ht="12" customHeight="1">
      <c r="A142" s="228" t="s">
        <v>208</v>
      </c>
      <c r="B142" s="240"/>
      <c r="C142" s="240"/>
      <c r="D142" s="240"/>
      <c r="E142" s="240"/>
      <c r="F142" s="240"/>
      <c r="G142" s="240"/>
      <c r="H142" s="240"/>
      <c r="I142" s="240"/>
      <c r="J142" s="240"/>
      <c r="K142" s="240"/>
      <c r="L142" s="240"/>
      <c r="M142" s="240"/>
    </row>
    <row r="143" spans="1:13" ht="12" customHeight="1">
      <c r="A143" s="228" t="s">
        <v>214</v>
      </c>
      <c r="B143" s="240"/>
      <c r="C143" s="240"/>
      <c r="D143" s="240"/>
      <c r="E143" s="240"/>
      <c r="F143" s="240"/>
      <c r="G143" s="240"/>
      <c r="H143" s="240"/>
      <c r="I143" s="240"/>
      <c r="J143" s="240"/>
      <c r="K143" s="240"/>
      <c r="L143" s="240"/>
      <c r="M143" s="240"/>
    </row>
    <row r="144" spans="1:13" ht="12" customHeight="1">
      <c r="A144" s="228" t="s">
        <v>215</v>
      </c>
      <c r="B144" s="240"/>
      <c r="C144" s="240"/>
      <c r="D144" s="240"/>
      <c r="E144" s="240"/>
      <c r="F144" s="240"/>
      <c r="G144" s="240"/>
      <c r="H144" s="240"/>
      <c r="I144" s="240"/>
      <c r="J144" s="240"/>
      <c r="K144" s="240"/>
      <c r="L144" s="240"/>
      <c r="M144" s="240"/>
    </row>
    <row r="145" spans="1:13" ht="12" customHeight="1">
      <c r="A145" s="228" t="s">
        <v>216</v>
      </c>
      <c r="B145" s="240"/>
      <c r="C145" s="240"/>
      <c r="D145" s="240"/>
      <c r="E145" s="240"/>
      <c r="F145" s="240"/>
      <c r="G145" s="240"/>
      <c r="H145" s="240"/>
      <c r="I145" s="240"/>
      <c r="J145" s="240"/>
      <c r="K145" s="240"/>
      <c r="L145" s="240"/>
      <c r="M145" s="240"/>
    </row>
    <row r="146" spans="1:13" ht="12" customHeight="1">
      <c r="B146" s="227" t="str">
        <f>[1]Table_4.0_Information!$A$14</f>
        <v>11 add state in table 0</v>
      </c>
      <c r="C146" s="227"/>
      <c r="D146" s="227"/>
      <c r="E146" s="227"/>
      <c r="F146" s="227"/>
      <c r="G146" s="227"/>
      <c r="H146" s="227"/>
      <c r="I146" s="227"/>
      <c r="J146" s="227"/>
      <c r="K146" s="227"/>
      <c r="L146" s="227"/>
      <c r="M146" s="227"/>
    </row>
    <row r="147" spans="1:13" ht="12" customHeight="1">
      <c r="A147" s="58" t="s">
        <v>199</v>
      </c>
      <c r="B147" s="59" t="s">
        <v>200</v>
      </c>
      <c r="C147" s="59" t="s">
        <v>201</v>
      </c>
      <c r="D147" s="60" t="s">
        <v>298</v>
      </c>
      <c r="E147" s="60" t="s">
        <v>299</v>
      </c>
      <c r="F147" s="59" t="s">
        <v>204</v>
      </c>
      <c r="G147" s="59" t="s">
        <v>205</v>
      </c>
      <c r="H147" s="59" t="s">
        <v>206</v>
      </c>
      <c r="I147" s="59" t="s">
        <v>207</v>
      </c>
      <c r="J147" s="59" t="s">
        <v>208</v>
      </c>
      <c r="K147" s="60" t="s">
        <v>300</v>
      </c>
      <c r="L147" s="60" t="s">
        <v>301</v>
      </c>
      <c r="M147" s="60" t="s">
        <v>302</v>
      </c>
    </row>
    <row r="148" spans="1:13" ht="12" customHeight="1">
      <c r="A148" s="228" t="s">
        <v>200</v>
      </c>
      <c r="B148" s="240"/>
      <c r="C148" s="240"/>
      <c r="D148" s="240"/>
      <c r="E148" s="240"/>
      <c r="F148" s="240"/>
      <c r="G148" s="240"/>
      <c r="H148" s="240"/>
      <c r="I148" s="240"/>
      <c r="J148" s="240"/>
      <c r="K148" s="240"/>
      <c r="L148" s="240"/>
      <c r="M148" s="240"/>
    </row>
    <row r="149" spans="1:13" ht="12" customHeight="1">
      <c r="A149" s="228" t="s">
        <v>201</v>
      </c>
      <c r="B149" s="240"/>
      <c r="C149" s="240"/>
      <c r="D149" s="240"/>
      <c r="E149" s="240"/>
      <c r="F149" s="240"/>
      <c r="G149" s="240"/>
      <c r="H149" s="240"/>
      <c r="I149" s="240"/>
      <c r="J149" s="240"/>
      <c r="K149" s="240"/>
      <c r="L149" s="240"/>
      <c r="M149" s="240"/>
    </row>
    <row r="150" spans="1:13" ht="12" customHeight="1">
      <c r="A150" s="233" t="s">
        <v>212</v>
      </c>
      <c r="B150" s="240"/>
      <c r="C150" s="240"/>
      <c r="D150" s="240"/>
      <c r="E150" s="240"/>
      <c r="F150" s="240"/>
      <c r="G150" s="240"/>
      <c r="H150" s="240"/>
      <c r="I150" s="240"/>
      <c r="J150" s="240"/>
      <c r="K150" s="240"/>
      <c r="L150" s="240"/>
      <c r="M150" s="240"/>
    </row>
    <row r="151" spans="1:13" ht="12" customHeight="1">
      <c r="A151" s="228" t="s">
        <v>213</v>
      </c>
      <c r="B151" s="240"/>
      <c r="C151" s="240"/>
      <c r="D151" s="240"/>
      <c r="E151" s="240"/>
      <c r="F151" s="240"/>
      <c r="G151" s="240"/>
      <c r="H151" s="240"/>
      <c r="I151" s="240"/>
      <c r="J151" s="240"/>
      <c r="K151" s="240"/>
      <c r="L151" s="240"/>
      <c r="M151" s="240"/>
    </row>
    <row r="152" spans="1:13" ht="12" customHeight="1">
      <c r="A152" s="228" t="s">
        <v>204</v>
      </c>
      <c r="B152" s="240"/>
      <c r="C152" s="240"/>
      <c r="D152" s="240"/>
      <c r="E152" s="240"/>
      <c r="F152" s="240"/>
      <c r="G152" s="240"/>
      <c r="H152" s="240"/>
      <c r="I152" s="240"/>
      <c r="J152" s="240"/>
      <c r="K152" s="240"/>
      <c r="L152" s="240"/>
      <c r="M152" s="240"/>
    </row>
    <row r="153" spans="1:13" ht="12" customHeight="1">
      <c r="A153" s="228" t="s">
        <v>205</v>
      </c>
      <c r="B153" s="240"/>
      <c r="C153" s="240"/>
      <c r="D153" s="240"/>
      <c r="E153" s="240"/>
      <c r="F153" s="240"/>
      <c r="G153" s="240"/>
      <c r="H153" s="240"/>
      <c r="I153" s="240"/>
      <c r="J153" s="240"/>
      <c r="K153" s="240"/>
      <c r="L153" s="240"/>
      <c r="M153" s="240"/>
    </row>
    <row r="154" spans="1:13" ht="12" customHeight="1">
      <c r="A154" s="228" t="s">
        <v>206</v>
      </c>
      <c r="B154" s="240"/>
      <c r="C154" s="240"/>
      <c r="D154" s="240"/>
      <c r="E154" s="240"/>
      <c r="F154" s="240"/>
      <c r="G154" s="240"/>
      <c r="H154" s="240"/>
      <c r="I154" s="240"/>
      <c r="J154" s="240"/>
      <c r="K154" s="240"/>
      <c r="L154" s="240"/>
      <c r="M154" s="240"/>
    </row>
    <row r="155" spans="1:13" ht="12" customHeight="1">
      <c r="A155" s="228" t="s">
        <v>207</v>
      </c>
      <c r="B155" s="240"/>
      <c r="C155" s="240"/>
      <c r="D155" s="240"/>
      <c r="E155" s="240"/>
      <c r="F155" s="240"/>
      <c r="G155" s="240"/>
      <c r="H155" s="240"/>
      <c r="I155" s="240"/>
      <c r="J155" s="240"/>
      <c r="K155" s="240"/>
      <c r="L155" s="240"/>
      <c r="M155" s="240"/>
    </row>
    <row r="156" spans="1:13" ht="12" customHeight="1">
      <c r="A156" s="228" t="s">
        <v>208</v>
      </c>
      <c r="B156" s="240"/>
      <c r="C156" s="240"/>
      <c r="D156" s="240"/>
      <c r="E156" s="240"/>
      <c r="F156" s="240"/>
      <c r="G156" s="240"/>
      <c r="H156" s="240"/>
      <c r="I156" s="240"/>
      <c r="J156" s="240"/>
      <c r="K156" s="240"/>
      <c r="L156" s="240"/>
      <c r="M156" s="240"/>
    </row>
    <row r="157" spans="1:13" ht="12" customHeight="1">
      <c r="A157" s="228" t="s">
        <v>214</v>
      </c>
      <c r="B157" s="240"/>
      <c r="C157" s="240"/>
      <c r="D157" s="240"/>
      <c r="E157" s="240"/>
      <c r="F157" s="240"/>
      <c r="G157" s="240"/>
      <c r="H157" s="240"/>
      <c r="I157" s="240"/>
      <c r="J157" s="240"/>
      <c r="K157" s="240"/>
      <c r="L157" s="240"/>
      <c r="M157" s="240"/>
    </row>
    <row r="158" spans="1:13" ht="12" customHeight="1">
      <c r="A158" s="228" t="s">
        <v>215</v>
      </c>
      <c r="B158" s="240"/>
      <c r="C158" s="240"/>
      <c r="D158" s="240"/>
      <c r="E158" s="240"/>
      <c r="F158" s="240"/>
      <c r="G158" s="240"/>
      <c r="H158" s="240"/>
      <c r="I158" s="240"/>
      <c r="J158" s="240"/>
      <c r="K158" s="240"/>
      <c r="L158" s="240"/>
      <c r="M158" s="240"/>
    </row>
    <row r="159" spans="1:13" ht="12" customHeight="1">
      <c r="A159" s="228" t="s">
        <v>216</v>
      </c>
      <c r="B159" s="240"/>
      <c r="C159" s="240"/>
      <c r="D159" s="240"/>
      <c r="E159" s="240"/>
      <c r="F159" s="240"/>
      <c r="G159" s="240"/>
      <c r="H159" s="240"/>
      <c r="I159" s="240"/>
      <c r="J159" s="240"/>
      <c r="K159" s="240"/>
      <c r="L159" s="240"/>
      <c r="M159" s="240"/>
    </row>
    <row r="160" spans="1:13" ht="12" customHeight="1">
      <c r="B160" s="227" t="str">
        <f>[1]Table_4.0_Information!$A$15</f>
        <v>12 add state in table 0</v>
      </c>
      <c r="C160" s="227"/>
      <c r="D160" s="227"/>
      <c r="E160" s="227"/>
      <c r="F160" s="227"/>
      <c r="G160" s="227"/>
      <c r="H160" s="227"/>
      <c r="I160" s="227"/>
      <c r="J160" s="227"/>
      <c r="K160" s="227"/>
      <c r="L160" s="227"/>
      <c r="M160" s="227"/>
    </row>
    <row r="161" spans="1:13" ht="12" customHeight="1">
      <c r="A161" s="58" t="s">
        <v>199</v>
      </c>
      <c r="B161" s="59" t="s">
        <v>200</v>
      </c>
      <c r="C161" s="59" t="s">
        <v>201</v>
      </c>
      <c r="D161" s="60" t="s">
        <v>298</v>
      </c>
      <c r="E161" s="60" t="s">
        <v>299</v>
      </c>
      <c r="F161" s="59" t="s">
        <v>204</v>
      </c>
      <c r="G161" s="59" t="s">
        <v>205</v>
      </c>
      <c r="H161" s="59" t="s">
        <v>206</v>
      </c>
      <c r="I161" s="59" t="s">
        <v>207</v>
      </c>
      <c r="J161" s="59" t="s">
        <v>208</v>
      </c>
      <c r="K161" s="60" t="s">
        <v>300</v>
      </c>
      <c r="L161" s="60" t="s">
        <v>301</v>
      </c>
      <c r="M161" s="60" t="s">
        <v>302</v>
      </c>
    </row>
    <row r="162" spans="1:13" ht="12" customHeight="1">
      <c r="A162" s="228" t="s">
        <v>200</v>
      </c>
      <c r="B162" s="240"/>
      <c r="C162" s="240"/>
      <c r="D162" s="240"/>
      <c r="E162" s="240"/>
      <c r="F162" s="240"/>
      <c r="G162" s="240"/>
      <c r="H162" s="240"/>
      <c r="I162" s="240"/>
      <c r="J162" s="240"/>
      <c r="K162" s="240"/>
      <c r="L162" s="240"/>
      <c r="M162" s="240"/>
    </row>
    <row r="163" spans="1:13" ht="12" customHeight="1">
      <c r="A163" s="228" t="s">
        <v>201</v>
      </c>
      <c r="B163" s="240"/>
      <c r="C163" s="240"/>
      <c r="D163" s="240"/>
      <c r="E163" s="240"/>
      <c r="F163" s="240"/>
      <c r="G163" s="240"/>
      <c r="H163" s="240"/>
      <c r="I163" s="240"/>
      <c r="J163" s="240"/>
      <c r="K163" s="240"/>
      <c r="L163" s="240"/>
      <c r="M163" s="240"/>
    </row>
    <row r="164" spans="1:13" ht="12" customHeight="1">
      <c r="A164" s="233" t="s">
        <v>212</v>
      </c>
      <c r="B164" s="240"/>
      <c r="C164" s="240"/>
      <c r="D164" s="240"/>
      <c r="E164" s="240"/>
      <c r="F164" s="240"/>
      <c r="G164" s="240"/>
      <c r="H164" s="240"/>
      <c r="I164" s="240"/>
      <c r="J164" s="240"/>
      <c r="K164" s="240"/>
      <c r="L164" s="240"/>
      <c r="M164" s="240"/>
    </row>
    <row r="165" spans="1:13" ht="12" customHeight="1">
      <c r="A165" s="228" t="s">
        <v>213</v>
      </c>
      <c r="B165" s="240"/>
      <c r="C165" s="240"/>
      <c r="D165" s="240"/>
      <c r="E165" s="240"/>
      <c r="F165" s="240"/>
      <c r="G165" s="240"/>
      <c r="H165" s="240"/>
      <c r="I165" s="240"/>
      <c r="J165" s="240"/>
      <c r="K165" s="240"/>
      <c r="L165" s="240"/>
      <c r="M165" s="240"/>
    </row>
    <row r="166" spans="1:13" ht="12" customHeight="1">
      <c r="A166" s="228" t="s">
        <v>204</v>
      </c>
      <c r="B166" s="240"/>
      <c r="C166" s="240"/>
      <c r="D166" s="240"/>
      <c r="E166" s="240"/>
      <c r="F166" s="240"/>
      <c r="G166" s="240"/>
      <c r="H166" s="240"/>
      <c r="I166" s="240"/>
      <c r="J166" s="240"/>
      <c r="K166" s="240"/>
      <c r="L166" s="240"/>
      <c r="M166" s="240"/>
    </row>
    <row r="167" spans="1:13" ht="12" customHeight="1">
      <c r="A167" s="228" t="s">
        <v>205</v>
      </c>
      <c r="B167" s="240"/>
      <c r="C167" s="240"/>
      <c r="D167" s="240"/>
      <c r="E167" s="240"/>
      <c r="F167" s="240"/>
      <c r="G167" s="240"/>
      <c r="H167" s="240"/>
      <c r="I167" s="240"/>
      <c r="J167" s="240"/>
      <c r="K167" s="240"/>
      <c r="L167" s="240"/>
      <c r="M167" s="240"/>
    </row>
    <row r="168" spans="1:13" ht="12" customHeight="1">
      <c r="A168" s="228" t="s">
        <v>206</v>
      </c>
      <c r="B168" s="240"/>
      <c r="C168" s="240"/>
      <c r="D168" s="240"/>
      <c r="E168" s="240"/>
      <c r="F168" s="240"/>
      <c r="G168" s="240"/>
      <c r="H168" s="240"/>
      <c r="I168" s="240"/>
      <c r="J168" s="240"/>
      <c r="K168" s="240"/>
      <c r="L168" s="240"/>
      <c r="M168" s="240"/>
    </row>
    <row r="169" spans="1:13" ht="12" customHeight="1">
      <c r="A169" s="228" t="s">
        <v>207</v>
      </c>
      <c r="B169" s="240"/>
      <c r="C169" s="240"/>
      <c r="D169" s="240"/>
      <c r="E169" s="240"/>
      <c r="F169" s="240"/>
      <c r="G169" s="240"/>
      <c r="H169" s="240"/>
      <c r="I169" s="240"/>
      <c r="J169" s="240"/>
      <c r="K169" s="240"/>
      <c r="L169" s="240"/>
      <c r="M169" s="240"/>
    </row>
    <row r="170" spans="1:13" ht="12" customHeight="1">
      <c r="A170" s="228" t="s">
        <v>208</v>
      </c>
      <c r="B170" s="240"/>
      <c r="C170" s="240"/>
      <c r="D170" s="240"/>
      <c r="E170" s="240"/>
      <c r="F170" s="240"/>
      <c r="G170" s="240"/>
      <c r="H170" s="240"/>
      <c r="I170" s="240"/>
      <c r="J170" s="240"/>
      <c r="K170" s="240"/>
      <c r="L170" s="240"/>
      <c r="M170" s="240"/>
    </row>
    <row r="171" spans="1:13" ht="12" customHeight="1">
      <c r="A171" s="228" t="s">
        <v>214</v>
      </c>
      <c r="B171" s="240"/>
      <c r="C171" s="240"/>
      <c r="D171" s="240"/>
      <c r="E171" s="240"/>
      <c r="F171" s="240"/>
      <c r="G171" s="240"/>
      <c r="H171" s="240"/>
      <c r="I171" s="240"/>
      <c r="J171" s="240"/>
      <c r="K171" s="240"/>
      <c r="L171" s="240"/>
      <c r="M171" s="240"/>
    </row>
    <row r="172" spans="1:13" ht="12" customHeight="1">
      <c r="A172" s="228" t="s">
        <v>215</v>
      </c>
      <c r="B172" s="240"/>
      <c r="C172" s="240"/>
      <c r="D172" s="240"/>
      <c r="E172" s="240"/>
      <c r="F172" s="240"/>
      <c r="G172" s="240"/>
      <c r="H172" s="240"/>
      <c r="I172" s="240"/>
      <c r="J172" s="240"/>
      <c r="K172" s="240"/>
      <c r="L172" s="240"/>
      <c r="M172" s="240"/>
    </row>
    <row r="173" spans="1:13" ht="12" customHeight="1">
      <c r="A173" s="228" t="s">
        <v>216</v>
      </c>
      <c r="B173" s="240"/>
      <c r="C173" s="240"/>
      <c r="D173" s="240"/>
      <c r="E173" s="240"/>
      <c r="F173" s="240"/>
      <c r="G173" s="240"/>
      <c r="H173" s="240"/>
      <c r="I173" s="240"/>
      <c r="J173" s="240"/>
      <c r="K173" s="240"/>
      <c r="L173" s="240"/>
      <c r="M173" s="240"/>
    </row>
  </sheetData>
  <mergeCells count="5">
    <mergeCell ref="P2:AB2"/>
    <mergeCell ref="P17:AB17"/>
    <mergeCell ref="P32:AB32"/>
    <mergeCell ref="P47:AB47"/>
    <mergeCell ref="P62:AB62"/>
  </mergeCells>
  <conditionalFormatting sqref="R4:AB4 Q15:AA15 Q14:Z14 AB14 Q13:Y13 AA13:AB13 Q12:X12 Z12:AB12 Q11:W11 Y11:AB11 Q10:V10 X10:AB10 Q9:U9 W9:AB9 Q8:T8 V8:AB8 Q7:S7 U7:AB7 Q6:R6 T6:AB6 Q5 S5:AB5">
    <cfRule type="colorScale" priority="24">
      <colorScale>
        <cfvo type="min"/>
        <cfvo type="max"/>
        <color rgb="FFFCFCFF"/>
        <color rgb="FFF8696B"/>
      </colorScale>
    </cfRule>
  </conditionalFormatting>
  <conditionalFormatting sqref="Q5:Q15 R6:R15 S7:S15 T8:T15 U9:U15 V10:V15 W11:W15 X12:X15 Y13:Y15 Z14:Z15 AA15">
    <cfRule type="colorScale" priority="23">
      <colorScale>
        <cfvo type="min"/>
        <cfvo type="max"/>
        <color rgb="FFFCFCFF"/>
        <color rgb="FFF8696B"/>
      </colorScale>
    </cfRule>
  </conditionalFormatting>
  <conditionalFormatting sqref="R4:AB4 Q15:AA15 Q14:Z14 AB14 Q13:Y13 AA13:AB13 Q12:X12 Z12:AB12 Q11:W11 Y11:AB11 Q10:V10 X10:AB10 Q9:U9 W9:AB9 Q8:T8 V8:AB8 Q7:S7 U7:AB7 Q6:R6 T6:AB6 Q5 S5:AB5">
    <cfRule type="colorScale" priority="22">
      <colorScale>
        <cfvo type="min"/>
        <cfvo type="max"/>
        <color theme="5" tint="0.59999389629810485"/>
        <color rgb="FFC00000"/>
      </colorScale>
    </cfRule>
  </conditionalFormatting>
  <conditionalFormatting sqref="R4:AB4 Q15:AA15 Q14:Z14 AB14 Q13:Y13 AA13:AB13 Q12:X12 Z12:AB12 Q11:W11 Y11:AB11 Q10:V10 X10:AB10 Q9:U9 W9:AB9 Q8:T8 V8:AB8 Q7:S7 U7:AB7 Q6:R6 T6:AB6 Q5 S5:AB5">
    <cfRule type="colorScale" priority="21">
      <colorScale>
        <cfvo type="min"/>
        <cfvo type="max"/>
        <color theme="0" tint="-4.9989318521683403E-2"/>
        <color rgb="FFC00000"/>
      </colorScale>
    </cfRule>
  </conditionalFormatting>
  <conditionalFormatting sqref="R19:AB19 Q30:AA30 Q29:Z29 AB29 Q28:Y28 AA28:AB28 Q27:X27 Z27:AB27 Q26:W26 Y26:AB26 Q25:V25 X25:AB25 Q24:U24 W24:AB24 Q23:T23 V23:AB23 Q22:S22 U22:AB22 Q21:R21 T21:AB21 Q20 S20:AB20">
    <cfRule type="colorScale" priority="20">
      <colorScale>
        <cfvo type="min"/>
        <cfvo type="max"/>
        <color rgb="FFFCFCFF"/>
        <color rgb="FFF8696B"/>
      </colorScale>
    </cfRule>
  </conditionalFormatting>
  <conditionalFormatting sqref="Q20:Q30 R21:R30 S22:S30 T23:T30 U24:U30 V25:V30 W26:W30 X27:X30 Y28:Y30 Z29:Z30 AA30">
    <cfRule type="colorScale" priority="19">
      <colorScale>
        <cfvo type="min"/>
        <cfvo type="max"/>
        <color rgb="FFFCFCFF"/>
        <color rgb="FFF8696B"/>
      </colorScale>
    </cfRule>
  </conditionalFormatting>
  <conditionalFormatting sqref="R19:AB19 Q30:AA30 Q29:Z29 AB29 Q28:Y28 AA28:AB28 Q27:X27 Z27:AB27 Q26:W26 Y26:AB26 Q25:V25 X25:AB25 Q24:U24 W24:AB24 Q23:T23 V23:AB23 Q22:S22 U22:AB22 Q21:R21 T21:AB21 Q20 S20:AB20">
    <cfRule type="colorScale" priority="18">
      <colorScale>
        <cfvo type="min"/>
        <cfvo type="max"/>
        <color theme="5" tint="0.59999389629810485"/>
        <color rgb="FFC00000"/>
      </colorScale>
    </cfRule>
  </conditionalFormatting>
  <conditionalFormatting sqref="R19:AB19 Q30:AA30 Q29:Z29 AB29 Q28:Y28 AA28:AB28 Q27:X27 Z27:AB27 Q26:W26 Y26:AB26 Q25:V25 X25:AB25 Q24:U24 W24:AB24 Q23:T23 V23:AB23 Q22:S22 U22:AB22 Q21:R21 T21:AB21 Q20 S20:AB20">
    <cfRule type="colorScale" priority="17">
      <colorScale>
        <cfvo type="min"/>
        <cfvo type="max"/>
        <color theme="0" tint="-4.9989318521683403E-2"/>
        <color rgb="FFC00000"/>
      </colorScale>
    </cfRule>
  </conditionalFormatting>
  <conditionalFormatting sqref="R34:AB34 Q45:AA45 Q44:Z44 AB44 Q43:Y43 AA43:AB43 Q42:X42 Z42:AB42 Q41:W41 Y41:AB41 Q40:V40 X40:AB40 Q39:U39 W39:AB39 Q38:T38 V38:AB38 Q37:S37 U37:AB37 Q36:R36 T36:AB36 Q35 S35:AB35">
    <cfRule type="colorScale" priority="16">
      <colorScale>
        <cfvo type="min"/>
        <cfvo type="max"/>
        <color rgb="FFFCFCFF"/>
        <color rgb="FFF8696B"/>
      </colorScale>
    </cfRule>
  </conditionalFormatting>
  <conditionalFormatting sqref="Q35:Q45 R36:R45 S37:S45 T38:T45 U39:U45 V40:V45 W41:W45 X42:X45 Y43:Y45 Z44:Z45 AA45">
    <cfRule type="colorScale" priority="15">
      <colorScale>
        <cfvo type="min"/>
        <cfvo type="max"/>
        <color rgb="FFFCFCFF"/>
        <color rgb="FFF8696B"/>
      </colorScale>
    </cfRule>
  </conditionalFormatting>
  <conditionalFormatting sqref="R34:AB34 Q45:AA45 Q44:Z44 AB44 Q43:Y43 AA43:AB43 Q42:X42 Z42:AB42 Q41:W41 Y41:AB41 Q40:V40 X40:AB40 Q39:U39 W39:AB39 Q38:T38 V38:AB38 Q37:S37 U37:AB37 Q36:R36 T36:AB36 Q35 S35:AB35">
    <cfRule type="colorScale" priority="14">
      <colorScale>
        <cfvo type="min"/>
        <cfvo type="max"/>
        <color theme="5" tint="0.59999389629810485"/>
        <color rgb="FFC00000"/>
      </colorScale>
    </cfRule>
  </conditionalFormatting>
  <conditionalFormatting sqref="R34:AB34 Q45:AA45 Q44:Z44 AB44 Q43:Y43 AA43:AB43 Q42:X42 Z42:AB42 Q41:W41 Y41:AB41 Q40:V40 X40:AB40 Q39:U39 W39:AB39 Q38:T38 V38:AB38 Q37:S37 U37:AB37 Q36:R36 T36:AB36 Q35 S35:AB35">
    <cfRule type="colorScale" priority="13">
      <colorScale>
        <cfvo type="min"/>
        <cfvo type="max"/>
        <color theme="0" tint="-4.9989318521683403E-2"/>
        <color rgb="FFC00000"/>
      </colorScale>
    </cfRule>
  </conditionalFormatting>
  <conditionalFormatting sqref="R49:AB49 Q60:AA60 Q59:Z59 AB59 Q58:Y58 AA58:AB58 Q57:X57 Z57:AB57 Q56:W56 Y56:AB56 Q55:V55 X55:AB55 Q54:U54 W54:AB54 Q53:T53 V53:AB53 Q52:S52 U52:AB52 Q51:R51 T51:AB51 Q50 S50:AB50">
    <cfRule type="colorScale" priority="8">
      <colorScale>
        <cfvo type="min"/>
        <cfvo type="max"/>
        <color rgb="FFFCFCFF"/>
        <color rgb="FFF8696B"/>
      </colorScale>
    </cfRule>
  </conditionalFormatting>
  <conditionalFormatting sqref="Q50:Q60 R51:R60 S52:S60 T53:T60 U54:U60 V55:V60 W56:W60 X57:X60 Y58:Y60 Z59:Z60 AA60">
    <cfRule type="colorScale" priority="7">
      <colorScale>
        <cfvo type="min"/>
        <cfvo type="max"/>
        <color rgb="FFFCFCFF"/>
        <color rgb="FFF8696B"/>
      </colorScale>
    </cfRule>
  </conditionalFormatting>
  <conditionalFormatting sqref="R49:AB49 Q60:AA60 Q59:Z59 AB59 Q58:Y58 AA58:AB58 Q57:X57 Z57:AB57 Q56:W56 Y56:AB56 Q55:V55 X55:AB55 Q54:U54 W54:AB54 Q53:T53 V53:AB53 Q52:S52 U52:AB52 Q51:R51 T51:AB51 Q50 S50:AB50">
    <cfRule type="colorScale" priority="6">
      <colorScale>
        <cfvo type="min"/>
        <cfvo type="max"/>
        <color theme="5" tint="0.59999389629810485"/>
        <color rgb="FFC00000"/>
      </colorScale>
    </cfRule>
  </conditionalFormatting>
  <conditionalFormatting sqref="R49:AB49 Q60:AA60 Q59:Z59 AB59 Q58:Y58 AA58:AB58 Q57:X57 Z57:AB57 Q56:W56 Y56:AB56 Q55:V55 X55:AB55 Q54:U54 W54:AB54 Q53:T53 V53:AB53 Q52:S52 U52:AB52 Q51:R51 T51:AB51 Q50 S50:AB50">
    <cfRule type="colorScale" priority="5">
      <colorScale>
        <cfvo type="min"/>
        <cfvo type="max"/>
        <color theme="0" tint="-4.9989318521683403E-2"/>
        <color rgb="FFC00000"/>
      </colorScale>
    </cfRule>
  </conditionalFormatting>
  <conditionalFormatting sqref="R64:AB64 Q75:AA75 Q74:Z74 AB74 Q73:Y73 AA73:AB73 Q72:X72 Z72:AB72 Q71:W71 Y71:AB71 Q70:V70 X70:AB70 Q69:U69 W69:AB69 Q68:T68 V68:AB68 Q67:S67 U67:AB67 Q66:R66 T66:AB66 Q65 S65:AB65">
    <cfRule type="colorScale" priority="4">
      <colorScale>
        <cfvo type="min"/>
        <cfvo type="max"/>
        <color rgb="FFFCFCFF"/>
        <color rgb="FFF8696B"/>
      </colorScale>
    </cfRule>
  </conditionalFormatting>
  <conditionalFormatting sqref="Q65:Q75 R66:R75 S67:S75 T68:T75 U69:U75 V70:V75 W71:W75 X72:X75 Y73:Y75 Z74:Z75 AA75">
    <cfRule type="colorScale" priority="3">
      <colorScale>
        <cfvo type="min"/>
        <cfvo type="max"/>
        <color rgb="FFFCFCFF"/>
        <color rgb="FFF8696B"/>
      </colorScale>
    </cfRule>
  </conditionalFormatting>
  <conditionalFormatting sqref="R64:AB64 Q75:AA75 Q74:Z74 AB74 Q73:Y73 AA73:AB73 Q72:X72 Z72:AB72 Q71:W71 Y71:AB71 Q70:V70 X70:AB70 Q69:U69 W69:AB69 Q68:T68 V68:AB68 Q67:S67 U67:AB67 Q66:R66 T66:AB66 Q65 S65:AB65">
    <cfRule type="colorScale" priority="2">
      <colorScale>
        <cfvo type="min"/>
        <cfvo type="max"/>
        <color theme="5" tint="0.59999389629810485"/>
        <color rgb="FFC00000"/>
      </colorScale>
    </cfRule>
  </conditionalFormatting>
  <conditionalFormatting sqref="R64:AB64 Q75:AA75 Q74:Z74 AB74 Q73:Y73 AA73:AB73 Q72:X72 Z72:AB72 Q71:W71 Y71:AB71 Q70:V70 X70:AB70 Q69:U69 W69:AB69 Q68:T68 V68:AB68 Q67:S67 U67:AB67 Q66:R66 T66:AB66 Q65 S65:AB65">
    <cfRule type="colorScale" priority="1">
      <colorScale>
        <cfvo type="min"/>
        <cfvo type="max"/>
        <color theme="0" tint="-4.9989318521683403E-2"/>
        <color rgb="FFC00000"/>
      </colorScale>
    </cfRule>
  </conditionalFormatting>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4C60B-FA79-4665-B33D-4A9FCCC98E1C}">
  <dimension ref="A1:C100"/>
  <sheetViews>
    <sheetView topLeftCell="G90" workbookViewId="0">
      <selection activeCell="S81" sqref="S81"/>
    </sheetView>
  </sheetViews>
  <sheetFormatPr baseColWidth="10" defaultColWidth="9.1640625" defaultRowHeight="15"/>
  <cols>
    <col min="1" max="1" width="9.1640625" style="20"/>
    <col min="2" max="2" width="13.5" style="20" customWidth="1"/>
    <col min="3" max="16384" width="9.1640625" style="20"/>
  </cols>
  <sheetData>
    <row r="1" spans="1:3">
      <c r="A1" s="37" t="s">
        <v>461</v>
      </c>
    </row>
    <row r="2" spans="1:3">
      <c r="B2" s="20" t="s">
        <v>462</v>
      </c>
      <c r="C2" s="20" t="s">
        <v>463</v>
      </c>
    </row>
    <row r="3" spans="1:3">
      <c r="A3" s="20" t="s">
        <v>342</v>
      </c>
      <c r="B3" s="242">
        <f>'[1]4_3.2_GraphPolydrug_1.30states'!$R$4</f>
        <v>3.9592760180995473E-3</v>
      </c>
      <c r="C3" s="242">
        <f>'[1]4_3.2_GraphPolydrug_1.30states'!$Q$5</f>
        <v>2.5454545454545455E-2</v>
      </c>
    </row>
    <row r="4" spans="1:3">
      <c r="A4" s="20" t="s">
        <v>365</v>
      </c>
      <c r="B4" s="242">
        <f>'[1]4_3.2_GraphPolydrug_1.30states'!$R$19</f>
        <v>2.0233277791002141E-3</v>
      </c>
      <c r="C4" s="242">
        <f>'[1]4_3.2_GraphPolydrug_1.30states'!$Q$20</f>
        <v>5.3375196232339092E-2</v>
      </c>
    </row>
    <row r="5" spans="1:3">
      <c r="A5" s="20" t="s">
        <v>343</v>
      </c>
      <c r="B5" s="242">
        <f>'4_3.2_GraphPolydrug_1.30states'!R64</f>
        <v>3.7826685006877581E-3</v>
      </c>
      <c r="C5" s="242">
        <f>'4_3.2_GraphPolydrug_1.30states'!Q65</f>
        <v>4.5267489711934158E-2</v>
      </c>
    </row>
    <row r="6" spans="1:3">
      <c r="A6" s="20" t="s">
        <v>344</v>
      </c>
      <c r="B6" s="242">
        <f>'[1]4_3.2_GraphPolydrug_1.30states'!$R$34</f>
        <v>5.6219255094869993E-3</v>
      </c>
      <c r="C6" s="242">
        <f>'[1]4_3.2_GraphPolydrug_1.30states'!$Q$35</f>
        <v>0.13559322033898305</v>
      </c>
    </row>
    <row r="7" spans="1:3">
      <c r="A7" s="20" t="s">
        <v>366</v>
      </c>
      <c r="B7" s="242">
        <f>'[1]4_3.2_GraphPolydrug_1.30states'!R49</f>
        <v>2.0628008251203302E-3</v>
      </c>
      <c r="C7" s="242">
        <f>'[1]4_3.2_GraphPolydrug_1.30states'!Q50</f>
        <v>0.06</v>
      </c>
    </row>
    <row r="8" spans="1:3">
      <c r="B8" s="243"/>
      <c r="C8" s="243"/>
    </row>
    <row r="9" spans="1:3">
      <c r="B9" s="243"/>
      <c r="C9" s="243"/>
    </row>
    <row r="10" spans="1:3">
      <c r="B10" s="243"/>
      <c r="C10" s="243"/>
    </row>
    <row r="11" spans="1:3">
      <c r="B11" s="243"/>
      <c r="C11" s="243"/>
    </row>
    <row r="17" spans="1:3">
      <c r="A17" s="37" t="s">
        <v>464</v>
      </c>
    </row>
    <row r="18" spans="1:3">
      <c r="A18" s="20" t="s">
        <v>465</v>
      </c>
    </row>
    <row r="19" spans="1:3">
      <c r="B19" s="20" t="s">
        <v>466</v>
      </c>
      <c r="C19" s="20" t="s">
        <v>467</v>
      </c>
    </row>
    <row r="20" spans="1:3">
      <c r="A20" s="20" t="s">
        <v>342</v>
      </c>
      <c r="B20" s="222">
        <f>'[1]4_3.2_GraphPolydrug_1.30states'!$T$9</f>
        <v>2.1164021164021163E-2</v>
      </c>
      <c r="C20" s="222">
        <f>'[1]4_3.2_GraphPolydrug_1.30states'!$S$9</f>
        <v>7.874015748031496E-3</v>
      </c>
    </row>
    <row r="21" spans="1:3">
      <c r="A21" s="20" t="s">
        <v>365</v>
      </c>
      <c r="B21" s="222">
        <f>'[1]4_3.2_GraphPolydrug_1.30states'!$T$24</f>
        <v>1.3003589948145194E-2</v>
      </c>
      <c r="C21" s="222">
        <f>'[1]4_3.2_GraphPolydrug_1.30states'!$S$24</f>
        <v>1.9350380096751902E-2</v>
      </c>
    </row>
    <row r="22" spans="1:3">
      <c r="A22" s="20" t="s">
        <v>343</v>
      </c>
      <c r="B22" s="222">
        <f>'4_3.2_GraphPolydrug_1.30states'!T69</f>
        <v>7.3952341824157766E-3</v>
      </c>
      <c r="C22" s="222">
        <f>'4_3.2_GraphPolydrug_1.30states'!S69</f>
        <v>1.2790697674418604E-2</v>
      </c>
    </row>
    <row r="23" spans="1:3">
      <c r="A23" s="20" t="s">
        <v>344</v>
      </c>
      <c r="B23" s="222">
        <f>'[1]4_3.2_GraphPolydrug_1.30states'!$T$39</f>
        <v>2.5875190258751901E-2</v>
      </c>
      <c r="C23" s="222">
        <f>'[1]4_3.2_GraphPolydrug_1.30states'!$S$39</f>
        <v>1.2870012870012869E-2</v>
      </c>
    </row>
    <row r="24" spans="1:3">
      <c r="A24" s="20" t="s">
        <v>366</v>
      </c>
      <c r="B24" s="222">
        <f>'[1]4_3.2_GraphPolydrug_1.30states'!T54</f>
        <v>1.1202830188679245E-2</v>
      </c>
      <c r="C24" s="222">
        <f>'[1]4_3.2_GraphPolydrug_1.30states'!S54</f>
        <v>1.5973254086181277E-2</v>
      </c>
    </row>
    <row r="25" spans="1:3">
      <c r="B25" s="244"/>
      <c r="C25" s="244"/>
    </row>
    <row r="26" spans="1:3">
      <c r="B26" s="244"/>
      <c r="C26" s="244"/>
    </row>
    <row r="27" spans="1:3">
      <c r="B27" s="244"/>
      <c r="C27" s="244"/>
    </row>
    <row r="28" spans="1:3">
      <c r="B28" s="244"/>
      <c r="C28" s="244"/>
    </row>
    <row r="30" spans="1:3">
      <c r="A30" s="37" t="s">
        <v>468</v>
      </c>
    </row>
    <row r="31" spans="1:3">
      <c r="B31" s="20" t="s">
        <v>466</v>
      </c>
      <c r="C31" s="20" t="s">
        <v>467</v>
      </c>
    </row>
    <row r="32" spans="1:3">
      <c r="A32" s="20" t="s">
        <v>342</v>
      </c>
      <c r="B32" s="222">
        <f>'[1]4_3.2_GraphPolydrug_1.30states'!$T$11</f>
        <v>5.2910052910052907E-3</v>
      </c>
      <c r="C32" s="222">
        <f>'[1]4_3.2_GraphPolydrug_1.30states'!$S$11</f>
        <v>1.968503937007874E-3</v>
      </c>
    </row>
    <row r="33" spans="1:3">
      <c r="A33" s="20" t="s">
        <v>365</v>
      </c>
      <c r="B33" s="222">
        <f>'[1]4_3.2_GraphPolydrug_1.30states'!$T$26</f>
        <v>3.3506182688472276E-3</v>
      </c>
      <c r="C33" s="222">
        <f>'[1]4_3.2_GraphPolydrug_1.30states'!$S$26</f>
        <v>3.6857866850956E-3</v>
      </c>
    </row>
    <row r="34" spans="1:3">
      <c r="A34" s="20" t="s">
        <v>343</v>
      </c>
      <c r="B34" s="222">
        <f>'4_3.2_GraphPolydrug_1.30states'!T71</f>
        <v>2.2185702547247329E-2</v>
      </c>
      <c r="C34" s="222">
        <f>'4_3.2_GraphPolydrug_1.30states'!S71</f>
        <v>6.9767441860465115E-3</v>
      </c>
    </row>
    <row r="35" spans="1:3">
      <c r="A35" s="20" t="s">
        <v>344</v>
      </c>
      <c r="B35" s="222">
        <f>'[1]4_3.2_GraphPolydrug_1.30states'!$T$41</f>
        <v>1.06544901065449E-2</v>
      </c>
      <c r="C35" s="222">
        <f>'[1]4_3.2_GraphPolydrug_1.30states'!$S$41</f>
        <v>3.8610038610038611E-3</v>
      </c>
    </row>
    <row r="36" spans="1:3">
      <c r="A36" s="20" t="s">
        <v>366</v>
      </c>
      <c r="B36" s="222">
        <f>'[1]4_3.2_GraphPolydrug_1.30states'!T56</f>
        <v>1.5330188679245283E-2</v>
      </c>
      <c r="C36" s="222">
        <f>'[1]4_3.2_GraphPolydrug_1.30states'!S56</f>
        <v>5.9435364041604752E-3</v>
      </c>
    </row>
    <row r="37" spans="1:3">
      <c r="B37" s="244"/>
      <c r="C37" s="244"/>
    </row>
    <row r="38" spans="1:3">
      <c r="B38" s="244"/>
      <c r="C38" s="244"/>
    </row>
    <row r="39" spans="1:3">
      <c r="B39" s="244"/>
      <c r="C39" s="244"/>
    </row>
    <row r="40" spans="1:3">
      <c r="B40" s="244"/>
      <c r="C40" s="244"/>
    </row>
    <row r="42" spans="1:3">
      <c r="A42" s="37" t="s">
        <v>469</v>
      </c>
    </row>
    <row r="43" spans="1:3">
      <c r="B43" s="20" t="s">
        <v>466</v>
      </c>
      <c r="C43" s="20" t="s">
        <v>467</v>
      </c>
    </row>
    <row r="44" spans="1:3">
      <c r="A44" s="20" t="s">
        <v>342</v>
      </c>
      <c r="B44" s="222">
        <f>'[1]4_3.2_GraphPolydrug_1.30states'!$T$12</f>
        <v>6.6137566137566134E-3</v>
      </c>
      <c r="C44" s="222">
        <f>'[1]4_3.2_GraphPolydrug_1.30states'!$S$12</f>
        <v>9.8425196850393706E-2</v>
      </c>
    </row>
    <row r="45" spans="1:3">
      <c r="A45" s="20" t="s">
        <v>365</v>
      </c>
      <c r="B45" s="222">
        <f>'[1]4_3.2_GraphPolydrug_1.30states'!$T$27</f>
        <v>8.0574391703230955E-3</v>
      </c>
      <c r="C45" s="222">
        <f>'[1]4_3.2_GraphPolydrug_1.30states'!$S$27</f>
        <v>7.8322967058281498E-2</v>
      </c>
    </row>
    <row r="46" spans="1:3">
      <c r="A46" s="20" t="s">
        <v>343</v>
      </c>
      <c r="B46" s="222">
        <f>'4_3.2_GraphPolydrug_1.30states'!T72</f>
        <v>1.7255546425636811E-2</v>
      </c>
      <c r="C46" s="222">
        <f>'4_3.2_GraphPolydrug_1.30states'!S72</f>
        <v>0.10116279069767442</v>
      </c>
    </row>
    <row r="47" spans="1:3">
      <c r="A47" s="20" t="s">
        <v>344</v>
      </c>
      <c r="B47" s="222">
        <f>'[1]4_3.2_GraphPolydrug_1.30states'!$T$42</f>
        <v>9.1324200913242004E-3</v>
      </c>
      <c r="C47" s="222">
        <f>'[1]4_3.2_GraphPolydrug_1.30states'!$S$42</f>
        <v>9.5238095238095233E-2</v>
      </c>
    </row>
    <row r="48" spans="1:3">
      <c r="A48" s="20" t="s">
        <v>366</v>
      </c>
      <c r="B48" s="222">
        <f>'[1]4_3.2_GraphPolydrug_1.30states'!T57</f>
        <v>1.945754716981132E-2</v>
      </c>
      <c r="C48" s="222">
        <f>'[1]4_3.2_GraphPolydrug_1.30states'!S57</f>
        <v>0.1337295690936107</v>
      </c>
    </row>
    <row r="49" spans="1:3">
      <c r="B49" s="244"/>
      <c r="C49" s="244"/>
    </row>
    <row r="50" spans="1:3">
      <c r="B50" s="244"/>
      <c r="C50" s="244"/>
    </row>
    <row r="51" spans="1:3">
      <c r="B51" s="244"/>
      <c r="C51" s="244"/>
    </row>
    <row r="52" spans="1:3">
      <c r="B52" s="244"/>
      <c r="C52" s="244"/>
    </row>
    <row r="54" spans="1:3">
      <c r="A54" s="37" t="s">
        <v>470</v>
      </c>
    </row>
    <row r="55" spans="1:3">
      <c r="B55" s="20" t="s">
        <v>471</v>
      </c>
      <c r="C55" s="20" t="s">
        <v>472</v>
      </c>
    </row>
    <row r="56" spans="1:3">
      <c r="A56" s="20" t="s">
        <v>342</v>
      </c>
      <c r="B56" s="222">
        <f>'[1]4_3.2_GraphPolydrug_1.30states'!$R$11</f>
        <v>3.3936651583710408E-3</v>
      </c>
      <c r="C56" s="222">
        <f>'[1]4_3.2_GraphPolydrug_1.30states'!$X$5</f>
        <v>0.08</v>
      </c>
    </row>
    <row r="57" spans="1:3">
      <c r="A57" s="20" t="s">
        <v>365</v>
      </c>
      <c r="B57" s="222">
        <f>'[1]4_3.2_GraphPolydrug_1.30states'!$R$26</f>
        <v>3.4515591525827185E-3</v>
      </c>
      <c r="C57" s="222">
        <f>'[1]4_3.2_GraphPolydrug_1.30states'!$X$20</f>
        <v>0.13615023474178403</v>
      </c>
    </row>
    <row r="58" spans="1:3">
      <c r="A58" s="20" t="s">
        <v>343</v>
      </c>
      <c r="B58" s="222">
        <f>'4_3.2_GraphPolydrug_1.30states'!R71</f>
        <v>1.3411279229711142E-2</v>
      </c>
      <c r="C58" s="222">
        <f>'4_3.2_GraphPolydrug_1.30states'!X65</f>
        <v>0.13356164383561644</v>
      </c>
    </row>
    <row r="59" spans="1:3">
      <c r="A59" s="20" t="s">
        <v>344</v>
      </c>
      <c r="B59" s="222">
        <f>'[1]4_3.2_GraphPolydrug_1.30states'!$R$41</f>
        <v>7.0274068868587487E-3</v>
      </c>
      <c r="C59" s="222">
        <f>'[1]4_3.2_GraphPolydrug_1.30states'!$X$35</f>
        <v>0.20833333333333334</v>
      </c>
    </row>
    <row r="60" spans="1:3">
      <c r="A60" s="20" t="s">
        <v>366</v>
      </c>
      <c r="B60" s="222">
        <f>'[1]4_3.2_GraphPolydrug_1.30states'!R56</f>
        <v>9.62640385056154E-3</v>
      </c>
      <c r="C60" s="222">
        <f>'[1]4_3.2_GraphPolydrug_1.30states'!X50</f>
        <v>0.23333333333333334</v>
      </c>
    </row>
    <row r="61" spans="1:3">
      <c r="B61" s="244"/>
      <c r="C61" s="244"/>
    </row>
    <row r="62" spans="1:3">
      <c r="B62" s="244"/>
      <c r="C62" s="244"/>
    </row>
    <row r="63" spans="1:3">
      <c r="B63" s="244"/>
      <c r="C63" s="244"/>
    </row>
    <row r="64" spans="1:3">
      <c r="B64" s="244"/>
      <c r="C64" s="244"/>
    </row>
    <row r="66" spans="1:3">
      <c r="A66" s="37" t="s">
        <v>473</v>
      </c>
    </row>
    <row r="67" spans="1:3">
      <c r="B67" s="20" t="s">
        <v>474</v>
      </c>
      <c r="C67" s="20" t="s">
        <v>475</v>
      </c>
    </row>
    <row r="68" spans="1:3">
      <c r="A68" s="20" t="s">
        <v>342</v>
      </c>
      <c r="B68" s="222">
        <f>'[1]4_3.2_GraphPolydrug_1.30states'!$S$12</f>
        <v>9.8425196850393706E-2</v>
      </c>
      <c r="C68" s="222">
        <f>'[1]4_3.2_GraphPolydrug_1.30states'!$Y$6</f>
        <v>0.1124859392575928</v>
      </c>
    </row>
    <row r="69" spans="1:3">
      <c r="A69" s="20" t="s">
        <v>365</v>
      </c>
      <c r="B69" s="222">
        <f>'[1]4_3.2_GraphPolydrug_1.30states'!$S$27</f>
        <v>7.8322967058281498E-2</v>
      </c>
      <c r="C69" s="222">
        <f>'[1]4_3.2_GraphPolydrug_1.30states'!$Y$21</f>
        <v>0.15050907481186365</v>
      </c>
    </row>
    <row r="70" spans="1:3">
      <c r="A70" s="20" t="s">
        <v>343</v>
      </c>
      <c r="B70" s="222">
        <f>'4_3.2_GraphPolydrug_1.30states'!S72</f>
        <v>0.10116279069767442</v>
      </c>
      <c r="C70" s="222">
        <f>'4_3.2_GraphPolydrug_1.30states'!Y66</f>
        <v>0.1303370786516854</v>
      </c>
    </row>
    <row r="71" spans="1:3">
      <c r="A71" s="20" t="s">
        <v>344</v>
      </c>
      <c r="B71" s="222">
        <f>'[1]4_3.2_GraphPolydrug_1.30states'!$S$42</f>
        <v>9.5238095238095233E-2</v>
      </c>
      <c r="C71" s="222">
        <f>'[1]4_3.2_GraphPolydrug_1.30states'!$Y$36</f>
        <v>0.14653465346534653</v>
      </c>
    </row>
    <row r="72" spans="1:3">
      <c r="A72" s="20" t="s">
        <v>366</v>
      </c>
      <c r="B72" s="222">
        <f>'[1]4_3.2_GraphPolydrug_1.30states'!S57</f>
        <v>0.1337295690936107</v>
      </c>
      <c r="C72" s="222">
        <f>'[1]4_3.2_GraphPolydrug_1.30states'!Y51</f>
        <v>0.17102137767220901</v>
      </c>
    </row>
    <row r="73" spans="1:3">
      <c r="B73" s="244"/>
      <c r="C73" s="244"/>
    </row>
    <row r="74" spans="1:3">
      <c r="B74" s="244"/>
      <c r="C74" s="244"/>
    </row>
    <row r="75" spans="1:3">
      <c r="B75" s="244"/>
      <c r="C75" s="244"/>
    </row>
    <row r="76" spans="1:3">
      <c r="B76" s="244"/>
      <c r="C76" s="244"/>
    </row>
    <row r="78" spans="1:3" ht="16" thickBot="1">
      <c r="A78" s="245" t="s">
        <v>476</v>
      </c>
    </row>
    <row r="79" spans="1:3">
      <c r="B79" s="20" t="s">
        <v>477</v>
      </c>
      <c r="C79" s="20" t="s">
        <v>478</v>
      </c>
    </row>
    <row r="80" spans="1:3">
      <c r="A80" s="20" t="s">
        <v>342</v>
      </c>
      <c r="B80" s="222">
        <f>'[1]4_3.2_GraphPolydrug_1.30states'!$V$12</f>
        <v>1.834862385321101E-2</v>
      </c>
      <c r="C80" s="222">
        <f>'[1]4_3.2_GraphPolydrug_1.30states'!$Y$9</f>
        <v>4.4994375703037125E-3</v>
      </c>
    </row>
    <row r="81" spans="1:3">
      <c r="A81" s="20" t="s">
        <v>365</v>
      </c>
      <c r="B81" s="222">
        <f>'[1]4_3.2_GraphPolydrug_1.30states'!$V$27</f>
        <v>4.1753653444676408E-2</v>
      </c>
      <c r="C81" s="222">
        <f>'[1]4_3.2_GraphPolydrug_1.30states'!$Y$24</f>
        <v>2.6560424966799469E-2</v>
      </c>
    </row>
    <row r="82" spans="1:3">
      <c r="A82" s="20" t="s">
        <v>343</v>
      </c>
      <c r="B82" s="222">
        <f>'4_3.2_GraphPolydrug_1.30states'!V72</f>
        <v>5.2631578947368418E-2</v>
      </c>
      <c r="C82" s="222">
        <f>'4_3.2_GraphPolydrug_1.30states'!Y69</f>
        <v>1.7977528089887642E-2</v>
      </c>
    </row>
    <row r="83" spans="1:3">
      <c r="A83" s="20" t="s">
        <v>344</v>
      </c>
      <c r="B83" s="222">
        <f>'[1]4_3.2_GraphPolydrug_1.30states'!$V$42</f>
        <v>2.8846153846153848E-2</v>
      </c>
      <c r="C83" s="222">
        <f>'[1]4_3.2_GraphPolydrug_1.30states'!$Y$39</f>
        <v>1.1881188118811881E-2</v>
      </c>
    </row>
    <row r="84" spans="1:3">
      <c r="A84" s="20" t="s">
        <v>366</v>
      </c>
      <c r="B84" s="222">
        <f>'[1]4_3.2_GraphPolydrug_1.30states'!V57</f>
        <v>7.0205479452054798E-2</v>
      </c>
      <c r="C84" s="222">
        <f>'[1]4_3.2_GraphPolydrug_1.30states'!Y54</f>
        <v>1.9477434679334917E-2</v>
      </c>
    </row>
    <row r="85" spans="1:3">
      <c r="B85" s="244"/>
      <c r="C85" s="244"/>
    </row>
    <row r="86" spans="1:3">
      <c r="B86" s="244"/>
      <c r="C86" s="244"/>
    </row>
    <row r="87" spans="1:3">
      <c r="B87" s="244"/>
      <c r="C87" s="244"/>
    </row>
    <row r="88" spans="1:3">
      <c r="B88" s="244"/>
      <c r="C88" s="244"/>
    </row>
    <row r="90" spans="1:3">
      <c r="A90" s="37" t="s">
        <v>479</v>
      </c>
    </row>
    <row r="91" spans="1:3">
      <c r="B91" s="20" t="s">
        <v>480</v>
      </c>
      <c r="C91" s="20" t="s">
        <v>481</v>
      </c>
    </row>
    <row r="92" spans="1:3">
      <c r="A92" s="20" t="s">
        <v>342</v>
      </c>
      <c r="B92" s="222">
        <f>'[1]4_3.2_GraphPolydrug_1.30states'!$Z$12</f>
        <v>6.2695924764890276E-2</v>
      </c>
      <c r="C92" s="222">
        <f>'[1]4_3.2_GraphPolydrug_1.30states'!$Y$13</f>
        <v>2.2497187851518559E-2</v>
      </c>
    </row>
    <row r="93" spans="1:3">
      <c r="A93" s="20" t="s">
        <v>365</v>
      </c>
      <c r="B93" s="222">
        <f>'[1]4_3.2_GraphPolydrug_1.30states'!$Z$27</f>
        <v>5.434782608695652E-2</v>
      </c>
      <c r="C93" s="222">
        <f>'[1]4_3.2_GraphPolydrug_1.30states'!$Y$28</f>
        <v>1.3280212483399735E-2</v>
      </c>
    </row>
    <row r="94" spans="1:3">
      <c r="A94" s="20" t="s">
        <v>343</v>
      </c>
      <c r="B94" s="222">
        <f>'4_3.2_GraphPolydrug_1.30states'!Z72</f>
        <v>5.0359712230215826E-2</v>
      </c>
      <c r="C94" s="222">
        <f>'4_3.2_GraphPolydrug_1.30states'!Y73</f>
        <v>1.5730337078651686E-2</v>
      </c>
    </row>
    <row r="95" spans="1:3">
      <c r="A95" s="20" t="s">
        <v>344</v>
      </c>
      <c r="B95" s="222">
        <f>'[1]4_3.2_GraphPolydrug_1.30states'!$Z$42</f>
        <v>5.3921568627450983E-2</v>
      </c>
      <c r="C95" s="222">
        <f>'[1]4_3.2_GraphPolydrug_1.30states'!$Y$43</f>
        <v>2.1782178217821781E-2</v>
      </c>
    </row>
    <row r="96" spans="1:3">
      <c r="A96" s="20" t="s">
        <v>366</v>
      </c>
      <c r="B96" s="222">
        <f>'[1]4_3.2_GraphPolydrug_1.30states'!Z57</f>
        <v>9.7308488612836433E-2</v>
      </c>
      <c r="C96" s="222">
        <f>'[1]4_3.2_GraphPolydrug_1.30states'!Y58</f>
        <v>2.2327790973871733E-2</v>
      </c>
    </row>
    <row r="97" spans="2:3">
      <c r="B97" s="244"/>
      <c r="C97" s="244"/>
    </row>
    <row r="98" spans="2:3">
      <c r="B98" s="244"/>
      <c r="C98" s="244"/>
    </row>
    <row r="99" spans="2:3">
      <c r="B99" s="244"/>
      <c r="C99" s="244"/>
    </row>
    <row r="100" spans="2:3">
      <c r="B100" s="244"/>
      <c r="C100" s="244"/>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0AA9-A632-4586-B8E1-FD1FC1878447}">
  <dimension ref="A1:AC158"/>
  <sheetViews>
    <sheetView workbookViewId="0">
      <selection activeCell="D5" sqref="D5:D11"/>
    </sheetView>
  </sheetViews>
  <sheetFormatPr baseColWidth="10" defaultColWidth="8.6640625" defaultRowHeight="15"/>
  <cols>
    <col min="1" max="1" width="26" style="20" customWidth="1"/>
    <col min="2" max="2" width="13.6640625" style="20" customWidth="1"/>
    <col min="3" max="3" width="12.33203125" style="20" bestFit="1" customWidth="1"/>
    <col min="4" max="4" width="12.33203125" style="20" customWidth="1"/>
    <col min="5" max="5" width="12.33203125" style="20" bestFit="1" customWidth="1"/>
    <col min="6" max="6" width="16.1640625" style="20" bestFit="1" customWidth="1"/>
    <col min="7" max="16384" width="8.6640625" style="20"/>
  </cols>
  <sheetData>
    <row r="1" spans="1:29">
      <c r="A1" s="49" t="s">
        <v>2</v>
      </c>
      <c r="B1" s="8"/>
      <c r="C1" s="8"/>
      <c r="D1" s="8"/>
      <c r="E1" s="3"/>
      <c r="F1" s="3"/>
    </row>
    <row r="2" spans="1:29">
      <c r="A2" s="10" t="s">
        <v>3</v>
      </c>
      <c r="B2" s="246"/>
      <c r="C2" s="246"/>
      <c r="D2" s="246"/>
      <c r="E2" s="1"/>
      <c r="F2" s="1"/>
    </row>
    <row r="3" spans="1:29">
      <c r="A3" s="15"/>
      <c r="B3" s="2"/>
      <c r="C3" s="2"/>
      <c r="D3" s="2"/>
      <c r="E3" s="2"/>
      <c r="F3" s="2"/>
    </row>
    <row r="4" spans="1:29" ht="85" thickBot="1">
      <c r="A4" s="18"/>
      <c r="B4" s="22" t="str">
        <f>[2]Table_4.0_Information!$A$4</f>
        <v>Colorado</v>
      </c>
      <c r="C4" s="22" t="str">
        <f>[2]Table_4.0_Information!$A$5</f>
        <v>Kentucky</v>
      </c>
      <c r="D4" s="22" t="s">
        <v>337</v>
      </c>
      <c r="E4" s="22" t="str">
        <f>[2]Table_4.0_Information!$A$6</f>
        <v>New Mexico</v>
      </c>
      <c r="F4" s="22" t="s">
        <v>338</v>
      </c>
      <c r="G4" s="22" t="str">
        <f>[2]Table_4.0_Information!$A$8</f>
        <v>5 add state in table 0</v>
      </c>
      <c r="H4" s="22" t="str">
        <f>[2]Table_4.0_Information!$A$9</f>
        <v>6 add state in table 0</v>
      </c>
      <c r="I4" s="22" t="str">
        <f>[2]Table_4.0_Information!$A$10</f>
        <v>7 add state in table 0</v>
      </c>
      <c r="J4" s="22" t="str">
        <f>[2]Table_4.0_Information!$A$11</f>
        <v>8 add state in table 0</v>
      </c>
      <c r="K4" s="22" t="str">
        <f>[2]Table_4.0_Information!$A$12</f>
        <v>9 add state in table 0</v>
      </c>
      <c r="L4" s="22" t="str">
        <f>[2]Table_4.0_Information!$A$13</f>
        <v>10 add state in table 0</v>
      </c>
      <c r="M4" s="22" t="str">
        <f>[2]Table_4.0_Information!$A$14</f>
        <v>11 add state in table 0</v>
      </c>
      <c r="N4" s="22" t="str">
        <f>[2]Table_4.0_Information!$A$15</f>
        <v>12 add state in table 0</v>
      </c>
      <c r="P4" s="18" t="s">
        <v>62</v>
      </c>
      <c r="Q4" s="22" t="str">
        <f>[2]Table_4.0_Information!$A$4</f>
        <v>Colorado</v>
      </c>
      <c r="R4" s="22" t="str">
        <f>[2]Table_4.0_Information!$A$5</f>
        <v>Kentucky</v>
      </c>
      <c r="S4" s="22" t="s">
        <v>337</v>
      </c>
      <c r="T4" s="22" t="str">
        <f>[2]Table_4.0_Information!$A$6</f>
        <v>New Mexico</v>
      </c>
      <c r="U4" s="22" t="s">
        <v>338</v>
      </c>
      <c r="V4" s="22" t="str">
        <f>[2]Table_4.0_Information!$A$8</f>
        <v>5 add state in table 0</v>
      </c>
      <c r="W4" s="22" t="str">
        <f>[2]Table_4.0_Information!$A$9</f>
        <v>6 add state in table 0</v>
      </c>
      <c r="X4" s="22" t="str">
        <f>[2]Table_4.0_Information!$A$10</f>
        <v>7 add state in table 0</v>
      </c>
      <c r="Y4" s="22" t="str">
        <f>[2]Table_4.0_Information!$A$11</f>
        <v>8 add state in table 0</v>
      </c>
      <c r="Z4" s="22" t="str">
        <f>[2]Table_4.0_Information!$A$12</f>
        <v>9 add state in table 0</v>
      </c>
      <c r="AA4" s="22" t="str">
        <f>[2]Table_4.0_Information!$A$13</f>
        <v>10 add state in table 0</v>
      </c>
      <c r="AB4" s="22" t="str">
        <f>[2]Table_4.0_Information!$A$14</f>
        <v>11 add state in table 0</v>
      </c>
      <c r="AC4" s="22" t="str">
        <f>[2]Table_4.0_Information!$A$15</f>
        <v>12 add state in table 0</v>
      </c>
    </row>
    <row r="5" spans="1:29" ht="16" thickTop="1">
      <c r="A5" s="14" t="s">
        <v>38</v>
      </c>
      <c r="B5" s="217">
        <v>4160</v>
      </c>
      <c r="C5" s="221">
        <v>25413</v>
      </c>
      <c r="D5" s="217">
        <v>5512</v>
      </c>
      <c r="E5" s="24">
        <v>2364</v>
      </c>
      <c r="F5" s="217">
        <v>9671</v>
      </c>
      <c r="G5" s="24"/>
      <c r="H5" s="26"/>
      <c r="I5" s="24"/>
      <c r="J5" s="26"/>
      <c r="K5" s="26"/>
      <c r="L5" s="26"/>
      <c r="M5" s="26"/>
      <c r="N5" s="26"/>
      <c r="P5" s="20" t="s">
        <v>38</v>
      </c>
      <c r="Q5" s="39">
        <f>B5/B$11</f>
        <v>0.43010752688172044</v>
      </c>
      <c r="R5" s="39">
        <f>C5/C$11</f>
        <v>0.66557540202189514</v>
      </c>
      <c r="S5" s="39">
        <f t="shared" ref="S5:AC10" si="0">D5/D$11</f>
        <v>0.48821966341895484</v>
      </c>
      <c r="T5" s="39">
        <f t="shared" si="0"/>
        <v>0.52545010002222714</v>
      </c>
      <c r="U5" s="39">
        <f t="shared" si="0"/>
        <v>0.49284003465321308</v>
      </c>
      <c r="V5" s="39" t="e">
        <f t="shared" si="0"/>
        <v>#DIV/0!</v>
      </c>
      <c r="W5" s="39" t="e">
        <f t="shared" si="0"/>
        <v>#DIV/0!</v>
      </c>
      <c r="X5" s="39" t="e">
        <f t="shared" si="0"/>
        <v>#DIV/0!</v>
      </c>
      <c r="Y5" s="39" t="e">
        <f t="shared" si="0"/>
        <v>#DIV/0!</v>
      </c>
      <c r="Z5" s="39" t="e">
        <f t="shared" si="0"/>
        <v>#DIV/0!</v>
      </c>
      <c r="AA5" s="39" t="e">
        <f t="shared" si="0"/>
        <v>#DIV/0!</v>
      </c>
      <c r="AB5" s="39" t="e">
        <f t="shared" si="0"/>
        <v>#DIV/0!</v>
      </c>
      <c r="AC5" s="39" t="e">
        <f t="shared" si="0"/>
        <v>#DIV/0!</v>
      </c>
    </row>
    <row r="6" spans="1:29">
      <c r="A6" s="15" t="s">
        <v>42</v>
      </c>
      <c r="B6" s="217">
        <v>2660</v>
      </c>
      <c r="C6" s="221">
        <v>5358</v>
      </c>
      <c r="D6" s="217">
        <v>2265</v>
      </c>
      <c r="E6" s="24">
        <v>1185</v>
      </c>
      <c r="F6" s="217">
        <v>4465</v>
      </c>
      <c r="G6" s="24"/>
      <c r="H6" s="26"/>
      <c r="I6" s="24"/>
      <c r="J6" s="26"/>
      <c r="K6" s="26"/>
      <c r="L6" s="26"/>
      <c r="M6" s="26"/>
      <c r="N6" s="26"/>
      <c r="P6" s="20" t="s">
        <v>42</v>
      </c>
      <c r="Q6" s="39">
        <f t="shared" ref="Q6:R10" si="1">B6/B$11</f>
        <v>0.27502067824648468</v>
      </c>
      <c r="R6" s="39">
        <f t="shared" si="1"/>
        <v>0.14032790320046096</v>
      </c>
      <c r="S6" s="39">
        <f t="shared" si="0"/>
        <v>0.20062001771479185</v>
      </c>
      <c r="T6" s="39">
        <f t="shared" si="0"/>
        <v>0.26339186485885752</v>
      </c>
      <c r="U6" s="39">
        <f t="shared" si="0"/>
        <v>0.2275391122662182</v>
      </c>
      <c r="V6" s="39" t="e">
        <f t="shared" si="0"/>
        <v>#DIV/0!</v>
      </c>
      <c r="W6" s="39" t="e">
        <f t="shared" si="0"/>
        <v>#DIV/0!</v>
      </c>
      <c r="X6" s="39" t="e">
        <f t="shared" si="0"/>
        <v>#DIV/0!</v>
      </c>
      <c r="Y6" s="39" t="e">
        <f t="shared" si="0"/>
        <v>#DIV/0!</v>
      </c>
      <c r="Z6" s="39" t="e">
        <f t="shared" si="0"/>
        <v>#DIV/0!</v>
      </c>
      <c r="AA6" s="39" t="e">
        <f t="shared" si="0"/>
        <v>#DIV/0!</v>
      </c>
      <c r="AB6" s="39" t="e">
        <f t="shared" si="0"/>
        <v>#DIV/0!</v>
      </c>
      <c r="AC6" s="39" t="e">
        <f t="shared" si="0"/>
        <v>#DIV/0!</v>
      </c>
    </row>
    <row r="7" spans="1:29">
      <c r="A7" s="15" t="s">
        <v>39</v>
      </c>
      <c r="B7" s="217">
        <v>20</v>
      </c>
      <c r="C7" s="221">
        <v>57</v>
      </c>
      <c r="D7" s="217">
        <v>19</v>
      </c>
      <c r="E7" s="30">
        <v>13</v>
      </c>
      <c r="F7" s="217">
        <v>34</v>
      </c>
      <c r="G7" s="24"/>
      <c r="H7" s="26"/>
      <c r="I7" s="24"/>
      <c r="J7" s="26"/>
      <c r="K7" s="26"/>
      <c r="L7" s="26"/>
      <c r="M7" s="26"/>
      <c r="N7" s="26"/>
      <c r="P7" s="20" t="s">
        <v>39</v>
      </c>
      <c r="Q7" s="39">
        <f t="shared" si="1"/>
        <v>2.0678246484698098E-3</v>
      </c>
      <c r="R7" s="39">
        <f t="shared" si="1"/>
        <v>1.4928500340474569E-3</v>
      </c>
      <c r="S7" s="39">
        <f t="shared" si="0"/>
        <v>1.682905225863596E-3</v>
      </c>
      <c r="T7" s="39">
        <f t="shared" si="0"/>
        <v>2.88953100689042E-3</v>
      </c>
      <c r="U7" s="39">
        <f t="shared" si="0"/>
        <v>1.7326606533149874E-3</v>
      </c>
      <c r="V7" s="39" t="e">
        <f t="shared" si="0"/>
        <v>#DIV/0!</v>
      </c>
      <c r="W7" s="39" t="e">
        <f t="shared" si="0"/>
        <v>#DIV/0!</v>
      </c>
      <c r="X7" s="39" t="e">
        <f t="shared" si="0"/>
        <v>#DIV/0!</v>
      </c>
      <c r="Y7" s="39" t="e">
        <f t="shared" si="0"/>
        <v>#DIV/0!</v>
      </c>
      <c r="Z7" s="39" t="e">
        <f t="shared" si="0"/>
        <v>#DIV/0!</v>
      </c>
      <c r="AA7" s="39" t="e">
        <f t="shared" si="0"/>
        <v>#DIV/0!</v>
      </c>
      <c r="AB7" s="39" t="e">
        <f t="shared" si="0"/>
        <v>#DIV/0!</v>
      </c>
      <c r="AC7" s="39" t="e">
        <f t="shared" si="0"/>
        <v>#DIV/0!</v>
      </c>
    </row>
    <row r="8" spans="1:29">
      <c r="A8" s="15" t="s">
        <v>40</v>
      </c>
      <c r="B8" s="217">
        <v>494</v>
      </c>
      <c r="C8" s="221">
        <v>1131</v>
      </c>
      <c r="D8" s="217">
        <v>378</v>
      </c>
      <c r="E8" s="24">
        <v>177</v>
      </c>
      <c r="F8" s="217">
        <v>552</v>
      </c>
      <c r="G8" s="26"/>
      <c r="H8" s="26"/>
      <c r="I8" s="26"/>
      <c r="J8" s="26"/>
      <c r="K8" s="26"/>
      <c r="L8" s="26"/>
      <c r="M8" s="26"/>
      <c r="N8" s="26"/>
      <c r="P8" s="20" t="s">
        <v>40</v>
      </c>
      <c r="Q8" s="39">
        <f t="shared" si="1"/>
        <v>5.1075268817204304E-2</v>
      </c>
      <c r="R8" s="39">
        <f t="shared" si="1"/>
        <v>2.9621287517678487E-2</v>
      </c>
      <c r="S8" s="39">
        <f t="shared" si="0"/>
        <v>3.3480956598759964E-2</v>
      </c>
      <c r="T8" s="39">
        <f t="shared" si="0"/>
        <v>3.9342076016892644E-2</v>
      </c>
      <c r="U8" s="39">
        <f t="shared" si="0"/>
        <v>2.8130255312643328E-2</v>
      </c>
      <c r="V8" s="39" t="e">
        <f t="shared" si="0"/>
        <v>#DIV/0!</v>
      </c>
      <c r="W8" s="39" t="e">
        <f t="shared" si="0"/>
        <v>#DIV/0!</v>
      </c>
      <c r="X8" s="39" t="e">
        <f t="shared" si="0"/>
        <v>#DIV/0!</v>
      </c>
      <c r="Y8" s="39" t="e">
        <f t="shared" si="0"/>
        <v>#DIV/0!</v>
      </c>
      <c r="Z8" s="39" t="e">
        <f t="shared" si="0"/>
        <v>#DIV/0!</v>
      </c>
      <c r="AA8" s="39" t="e">
        <f t="shared" si="0"/>
        <v>#DIV/0!</v>
      </c>
      <c r="AB8" s="39" t="e">
        <f t="shared" si="0"/>
        <v>#DIV/0!</v>
      </c>
      <c r="AC8" s="39" t="e">
        <f t="shared" si="0"/>
        <v>#DIV/0!</v>
      </c>
    </row>
    <row r="9" spans="1:29">
      <c r="A9" s="15" t="s">
        <v>43</v>
      </c>
      <c r="B9" s="217">
        <v>2323</v>
      </c>
      <c r="C9" s="221">
        <v>6188</v>
      </c>
      <c r="D9" s="217">
        <v>3044</v>
      </c>
      <c r="E9" s="24">
        <v>755</v>
      </c>
      <c r="F9" s="217">
        <v>4846</v>
      </c>
      <c r="G9" s="26"/>
      <c r="H9" s="26"/>
      <c r="I9" s="26"/>
      <c r="J9" s="26"/>
      <c r="K9" s="26"/>
      <c r="L9" s="26"/>
      <c r="M9" s="26"/>
      <c r="N9" s="26"/>
      <c r="P9" s="20" t="s">
        <v>43</v>
      </c>
      <c r="Q9" s="39">
        <f t="shared" si="1"/>
        <v>0.24017783291976841</v>
      </c>
      <c r="R9" s="39">
        <f t="shared" si="1"/>
        <v>0.16206589492430989</v>
      </c>
      <c r="S9" s="39">
        <f t="shared" si="0"/>
        <v>0.26961913197519927</v>
      </c>
      <c r="T9" s="39">
        <f t="shared" si="0"/>
        <v>0.16781507001555901</v>
      </c>
      <c r="U9" s="39">
        <f t="shared" si="0"/>
        <v>0.24695510370483617</v>
      </c>
      <c r="V9" s="39" t="e">
        <f t="shared" si="0"/>
        <v>#DIV/0!</v>
      </c>
      <c r="W9" s="39" t="e">
        <f t="shared" si="0"/>
        <v>#DIV/0!</v>
      </c>
      <c r="X9" s="39" t="e">
        <f t="shared" si="0"/>
        <v>#DIV/0!</v>
      </c>
      <c r="Y9" s="39" t="e">
        <f t="shared" si="0"/>
        <v>#DIV/0!</v>
      </c>
      <c r="Z9" s="39" t="e">
        <f t="shared" si="0"/>
        <v>#DIV/0!</v>
      </c>
      <c r="AA9" s="39" t="e">
        <f t="shared" si="0"/>
        <v>#DIV/0!</v>
      </c>
      <c r="AB9" s="39" t="e">
        <f t="shared" si="0"/>
        <v>#DIV/0!</v>
      </c>
      <c r="AC9" s="39" t="e">
        <f t="shared" si="0"/>
        <v>#DIV/0!</v>
      </c>
    </row>
    <row r="10" spans="1:29">
      <c r="A10" s="15" t="s">
        <v>44</v>
      </c>
      <c r="B10" s="217">
        <v>15</v>
      </c>
      <c r="C10" s="221">
        <v>35</v>
      </c>
      <c r="D10" s="217">
        <v>72</v>
      </c>
      <c r="E10" s="30">
        <v>5</v>
      </c>
      <c r="F10" s="217">
        <v>55</v>
      </c>
      <c r="G10" s="26"/>
      <c r="H10" s="26"/>
      <c r="I10" s="26"/>
      <c r="J10" s="26"/>
      <c r="K10" s="26"/>
      <c r="L10" s="26"/>
      <c r="M10" s="26"/>
      <c r="N10" s="26"/>
      <c r="P10" s="20" t="s">
        <v>44</v>
      </c>
      <c r="Q10" s="39">
        <f t="shared" si="1"/>
        <v>1.5508684863523574E-3</v>
      </c>
      <c r="R10" s="39">
        <f t="shared" si="1"/>
        <v>9.1666230160808763E-4</v>
      </c>
      <c r="S10" s="39">
        <f t="shared" si="0"/>
        <v>6.3773250664304693E-3</v>
      </c>
      <c r="T10" s="39">
        <f t="shared" si="0"/>
        <v>1.1113580795732384E-3</v>
      </c>
      <c r="U10" s="39">
        <f t="shared" si="0"/>
        <v>2.8028334097742447E-3</v>
      </c>
      <c r="V10" s="39" t="e">
        <f t="shared" si="0"/>
        <v>#DIV/0!</v>
      </c>
      <c r="W10" s="39" t="e">
        <f t="shared" si="0"/>
        <v>#DIV/0!</v>
      </c>
      <c r="X10" s="39" t="e">
        <f t="shared" si="0"/>
        <v>#DIV/0!</v>
      </c>
      <c r="Y10" s="39" t="e">
        <f t="shared" si="0"/>
        <v>#DIV/0!</v>
      </c>
      <c r="Z10" s="39" t="e">
        <f t="shared" si="0"/>
        <v>#DIV/0!</v>
      </c>
      <c r="AA10" s="39" t="e">
        <f t="shared" si="0"/>
        <v>#DIV/0!</v>
      </c>
      <c r="AB10" s="39" t="e">
        <f t="shared" si="0"/>
        <v>#DIV/0!</v>
      </c>
      <c r="AC10" s="39" t="e">
        <f t="shared" si="0"/>
        <v>#DIV/0!</v>
      </c>
    </row>
    <row r="11" spans="1:29" s="37" customFormat="1">
      <c r="A11" s="37" t="s">
        <v>80</v>
      </c>
      <c r="B11" s="73">
        <f>SUM(B5:B10)</f>
        <v>9672</v>
      </c>
      <c r="C11" s="74">
        <f t="shared" ref="C11:N11" si="2">SUM(C5:C10)</f>
        <v>38182</v>
      </c>
      <c r="D11" s="203">
        <v>11290</v>
      </c>
      <c r="E11" s="37">
        <f t="shared" si="2"/>
        <v>4499</v>
      </c>
      <c r="F11" s="37">
        <f t="shared" si="2"/>
        <v>19623</v>
      </c>
      <c r="G11" s="37">
        <f t="shared" si="2"/>
        <v>0</v>
      </c>
      <c r="H11" s="37">
        <f t="shared" si="2"/>
        <v>0</v>
      </c>
      <c r="I11" s="37">
        <f t="shared" si="2"/>
        <v>0</v>
      </c>
      <c r="J11" s="37">
        <f t="shared" si="2"/>
        <v>0</v>
      </c>
      <c r="K11" s="37">
        <f t="shared" si="2"/>
        <v>0</v>
      </c>
      <c r="L11" s="37">
        <f t="shared" si="2"/>
        <v>0</v>
      </c>
      <c r="M11" s="37">
        <f t="shared" si="2"/>
        <v>0</v>
      </c>
      <c r="N11" s="37">
        <f t="shared" si="2"/>
        <v>0</v>
      </c>
      <c r="Q11" s="20"/>
      <c r="R11" s="20"/>
      <c r="S11" s="20"/>
      <c r="T11" s="20"/>
      <c r="U11" s="20"/>
      <c r="V11" s="20"/>
      <c r="W11" s="20"/>
      <c r="X11" s="20"/>
      <c r="Y11" s="20"/>
      <c r="Z11" s="20"/>
      <c r="AA11" s="20"/>
      <c r="AB11" s="20"/>
      <c r="AC11" s="20"/>
    </row>
    <row r="12" spans="1:29" ht="42.75" customHeight="1">
      <c r="F12" s="2"/>
    </row>
    <row r="13" spans="1:29">
      <c r="A13" s="1"/>
      <c r="B13" s="1"/>
      <c r="C13" s="1"/>
      <c r="D13" s="1"/>
      <c r="E13" s="2"/>
      <c r="F13" s="2"/>
    </row>
    <row r="14" spans="1:29" ht="15" customHeight="1">
      <c r="A14" s="1"/>
      <c r="B14" s="1"/>
      <c r="C14" s="1"/>
      <c r="D14" s="1"/>
      <c r="E14" s="2"/>
      <c r="F14" s="2"/>
    </row>
    <row r="15" spans="1:29">
      <c r="A15" s="1"/>
      <c r="B15" s="2"/>
      <c r="C15" s="2"/>
      <c r="D15" s="2"/>
      <c r="E15" s="2"/>
      <c r="F15" s="2"/>
    </row>
    <row r="16" spans="1:29">
      <c r="A16" s="1"/>
      <c r="B16" s="2"/>
      <c r="C16" s="2"/>
      <c r="D16" s="2"/>
      <c r="E16" s="2"/>
      <c r="F16" s="2"/>
    </row>
    <row r="17" spans="1:6">
      <c r="A17" s="1"/>
      <c r="B17" s="2"/>
      <c r="C17" s="2"/>
      <c r="D17" s="2"/>
      <c r="E17" s="2"/>
      <c r="F17" s="2"/>
    </row>
    <row r="18" spans="1:6">
      <c r="A18" s="1"/>
      <c r="B18" s="2"/>
      <c r="C18" s="2"/>
      <c r="D18" s="2"/>
      <c r="E18" s="2"/>
      <c r="F18" s="2"/>
    </row>
    <row r="19" spans="1:6">
      <c r="A19" s="13"/>
      <c r="B19" s="11"/>
      <c r="C19" s="11"/>
      <c r="D19" s="11"/>
      <c r="E19" s="2"/>
      <c r="F19" s="2"/>
    </row>
    <row r="20" spans="1:6">
      <c r="A20" s="15"/>
      <c r="B20" s="2"/>
      <c r="C20" s="2"/>
      <c r="D20" s="2"/>
      <c r="E20" s="2"/>
      <c r="F20" s="2"/>
    </row>
    <row r="21" spans="1:6">
      <c r="A21" s="15"/>
      <c r="B21" s="2"/>
      <c r="C21" s="2"/>
      <c r="D21" s="2"/>
      <c r="E21" s="2"/>
      <c r="F21" s="2"/>
    </row>
    <row r="22" spans="1:6">
      <c r="A22" s="15"/>
      <c r="B22" s="2"/>
      <c r="C22" s="2"/>
      <c r="D22" s="2"/>
      <c r="E22" s="2"/>
      <c r="F22" s="2"/>
    </row>
    <row r="23" spans="1:6">
      <c r="A23" s="15"/>
      <c r="B23" s="2"/>
      <c r="C23" s="2"/>
      <c r="D23" s="2"/>
      <c r="E23" s="2"/>
      <c r="F23" s="2"/>
    </row>
    <row r="24" spans="1:6">
      <c r="A24" s="15"/>
      <c r="B24" s="2"/>
      <c r="C24" s="2"/>
      <c r="D24" s="2"/>
      <c r="E24" s="2"/>
      <c r="F24" s="2"/>
    </row>
    <row r="25" spans="1:6">
      <c r="A25" s="15"/>
      <c r="B25" s="2"/>
      <c r="C25" s="2"/>
      <c r="D25" s="2"/>
      <c r="E25" s="2"/>
      <c r="F25" s="2"/>
    </row>
    <row r="26" spans="1:6">
      <c r="A26" s="15"/>
      <c r="B26" s="2"/>
      <c r="C26" s="2"/>
      <c r="D26" s="2"/>
      <c r="E26" s="2"/>
      <c r="F26" s="2"/>
    </row>
    <row r="27" spans="1:6">
      <c r="A27" s="15"/>
      <c r="B27" s="2"/>
      <c r="C27" s="2"/>
      <c r="D27" s="2"/>
      <c r="E27" s="2"/>
      <c r="F27" s="2"/>
    </row>
    <row r="28" spans="1:6">
      <c r="A28" s="15"/>
      <c r="B28" s="2"/>
      <c r="C28" s="2"/>
      <c r="D28" s="2"/>
      <c r="E28" s="2"/>
      <c r="F28" s="2"/>
    </row>
    <row r="29" spans="1:6">
      <c r="A29" s="15"/>
      <c r="B29" s="2"/>
      <c r="C29" s="2"/>
      <c r="D29" s="2"/>
      <c r="E29" s="2"/>
      <c r="F29" s="2"/>
    </row>
    <row r="30" spans="1:6">
      <c r="A30" s="15"/>
      <c r="B30" s="2"/>
      <c r="C30" s="2"/>
      <c r="D30" s="2"/>
      <c r="E30" s="2"/>
      <c r="F30" s="2"/>
    </row>
    <row r="31" spans="1:6">
      <c r="A31" s="15"/>
      <c r="B31" s="2"/>
      <c r="C31" s="2"/>
      <c r="D31" s="2"/>
      <c r="E31" s="2"/>
      <c r="F31" s="2"/>
    </row>
    <row r="32" spans="1:6">
      <c r="A32" s="15"/>
      <c r="B32" s="2"/>
      <c r="C32" s="2"/>
      <c r="D32" s="2"/>
      <c r="E32" s="2"/>
      <c r="F32" s="2"/>
    </row>
    <row r="33" spans="1:6">
      <c r="A33" s="15"/>
      <c r="B33" s="2"/>
      <c r="C33" s="2"/>
      <c r="D33" s="2"/>
      <c r="E33" s="2"/>
      <c r="F33" s="2"/>
    </row>
    <row r="34" spans="1:6">
      <c r="A34" s="15"/>
      <c r="B34" s="2"/>
      <c r="C34" s="2"/>
      <c r="D34" s="2"/>
      <c r="E34" s="2"/>
      <c r="F34" s="2"/>
    </row>
    <row r="35" spans="1:6">
      <c r="A35" s="15"/>
      <c r="B35" s="2"/>
      <c r="C35" s="2"/>
      <c r="D35" s="2"/>
      <c r="E35" s="2"/>
      <c r="F35" s="2"/>
    </row>
    <row r="36" spans="1:6">
      <c r="A36" s="15"/>
      <c r="B36" s="2"/>
      <c r="C36" s="2"/>
      <c r="D36" s="2"/>
      <c r="E36" s="2"/>
      <c r="F36" s="2"/>
    </row>
    <row r="37" spans="1:6">
      <c r="A37" s="15"/>
      <c r="B37" s="2"/>
      <c r="C37" s="2"/>
      <c r="D37" s="2"/>
      <c r="E37" s="2"/>
      <c r="F37" s="2"/>
    </row>
    <row r="38" spans="1:6">
      <c r="A38" s="15"/>
      <c r="B38" s="2"/>
      <c r="C38" s="2"/>
      <c r="D38" s="2"/>
      <c r="E38" s="2"/>
      <c r="F38" s="2"/>
    </row>
    <row r="39" spans="1:6">
      <c r="A39" s="15"/>
      <c r="B39" s="2"/>
      <c r="C39" s="2"/>
      <c r="D39" s="2"/>
      <c r="E39" s="2"/>
      <c r="F39" s="2"/>
    </row>
    <row r="40" spans="1:6">
      <c r="A40" s="15"/>
      <c r="B40" s="2"/>
      <c r="C40" s="2"/>
      <c r="D40" s="2"/>
      <c r="E40" s="2"/>
      <c r="F40" s="2"/>
    </row>
    <row r="41" spans="1:6">
      <c r="A41" s="15"/>
      <c r="B41" s="2"/>
      <c r="C41" s="2"/>
      <c r="D41" s="2"/>
      <c r="E41" s="2"/>
      <c r="F41" s="2"/>
    </row>
    <row r="42" spans="1:6">
      <c r="A42" s="15"/>
      <c r="B42" s="2"/>
      <c r="C42" s="2"/>
      <c r="D42" s="2"/>
      <c r="E42" s="2"/>
      <c r="F42" s="2"/>
    </row>
    <row r="43" spans="1:6">
      <c r="A43" s="15"/>
      <c r="B43" s="2"/>
      <c r="C43" s="2"/>
      <c r="D43" s="2"/>
      <c r="E43" s="2"/>
      <c r="F43" s="2"/>
    </row>
    <row r="44" spans="1:6">
      <c r="A44" s="15"/>
      <c r="B44" s="2"/>
      <c r="C44" s="2"/>
      <c r="D44" s="2"/>
      <c r="E44" s="2"/>
      <c r="F44" s="2"/>
    </row>
    <row r="45" spans="1:6">
      <c r="A45" s="15"/>
      <c r="B45" s="2"/>
      <c r="C45" s="2"/>
      <c r="D45" s="2"/>
      <c r="E45" s="2"/>
      <c r="F45" s="2"/>
    </row>
    <row r="46" spans="1:6">
      <c r="A46" s="15"/>
      <c r="B46" s="2"/>
      <c r="C46" s="2"/>
      <c r="D46" s="2"/>
      <c r="E46" s="2"/>
      <c r="F46" s="2"/>
    </row>
    <row r="47" spans="1:6">
      <c r="A47" s="15"/>
      <c r="B47" s="2"/>
      <c r="C47" s="2"/>
      <c r="D47" s="2"/>
      <c r="E47" s="2"/>
      <c r="F47" s="2"/>
    </row>
    <row r="48" spans="1:6">
      <c r="A48" s="15"/>
      <c r="B48" s="2"/>
      <c r="C48" s="2"/>
      <c r="D48" s="2"/>
      <c r="E48" s="2"/>
      <c r="F48" s="2"/>
    </row>
    <row r="49" spans="1:6">
      <c r="A49" s="15"/>
      <c r="B49" s="2"/>
      <c r="C49" s="2"/>
      <c r="D49" s="2"/>
      <c r="E49" s="2"/>
      <c r="F49" s="2"/>
    </row>
    <row r="50" spans="1:6">
      <c r="A50" s="15"/>
      <c r="B50" s="2"/>
      <c r="C50" s="2"/>
      <c r="D50" s="2"/>
      <c r="E50" s="2"/>
      <c r="F50" s="2"/>
    </row>
    <row r="51" spans="1:6">
      <c r="A51" s="15"/>
      <c r="B51" s="2"/>
      <c r="C51" s="2"/>
      <c r="D51" s="2"/>
      <c r="E51" s="2"/>
      <c r="F51" s="2"/>
    </row>
    <row r="52" spans="1:6">
      <c r="A52" s="15"/>
      <c r="B52" s="2"/>
      <c r="C52" s="2"/>
      <c r="D52" s="2"/>
      <c r="E52" s="2"/>
      <c r="F52" s="2"/>
    </row>
    <row r="53" spans="1:6">
      <c r="A53" s="15"/>
      <c r="B53" s="2"/>
      <c r="C53" s="2"/>
      <c r="D53" s="2"/>
      <c r="E53" s="2"/>
      <c r="F53" s="2"/>
    </row>
    <row r="54" spans="1:6">
      <c r="A54" s="15"/>
      <c r="B54" s="2"/>
      <c r="C54" s="2"/>
      <c r="D54" s="2"/>
      <c r="E54" s="2"/>
      <c r="F54" s="2"/>
    </row>
    <row r="55" spans="1:6">
      <c r="A55" s="15"/>
      <c r="B55" s="2"/>
      <c r="C55" s="2"/>
      <c r="D55" s="2"/>
      <c r="E55" s="2"/>
      <c r="F55" s="2"/>
    </row>
    <row r="56" spans="1:6">
      <c r="A56" s="15"/>
      <c r="B56" s="2"/>
      <c r="C56" s="2"/>
      <c r="D56" s="2"/>
      <c r="E56" s="2"/>
      <c r="F56" s="2"/>
    </row>
    <row r="57" spans="1:6">
      <c r="A57" s="15"/>
      <c r="B57" s="2"/>
      <c r="C57" s="2"/>
      <c r="D57" s="2"/>
      <c r="E57" s="2"/>
      <c r="F57" s="2"/>
    </row>
    <row r="58" spans="1:6">
      <c r="A58" s="15"/>
      <c r="B58" s="2"/>
      <c r="C58" s="2"/>
      <c r="D58" s="2"/>
      <c r="E58" s="2"/>
      <c r="F58" s="2"/>
    </row>
    <row r="59" spans="1:6">
      <c r="A59" s="15"/>
      <c r="B59" s="2"/>
      <c r="C59" s="2"/>
      <c r="D59" s="2"/>
      <c r="E59" s="2"/>
      <c r="F59" s="2"/>
    </row>
    <row r="60" spans="1:6">
      <c r="A60" s="15"/>
      <c r="B60" s="2"/>
      <c r="C60" s="2"/>
      <c r="D60" s="2"/>
      <c r="E60" s="2"/>
      <c r="F60" s="2"/>
    </row>
    <row r="61" spans="1:6">
      <c r="A61" s="15"/>
      <c r="B61" s="2"/>
      <c r="C61" s="2"/>
      <c r="D61" s="2"/>
      <c r="E61" s="2"/>
      <c r="F61" s="2"/>
    </row>
    <row r="62" spans="1:6">
      <c r="A62" s="15"/>
      <c r="B62" s="2"/>
      <c r="C62" s="2"/>
      <c r="D62" s="2"/>
      <c r="E62" s="2"/>
      <c r="F62" s="2"/>
    </row>
    <row r="63" spans="1:6">
      <c r="A63" s="15"/>
      <c r="B63" s="2"/>
      <c r="C63" s="2"/>
      <c r="D63" s="2"/>
      <c r="E63" s="2"/>
      <c r="F63" s="2"/>
    </row>
    <row r="64" spans="1:6">
      <c r="A64" s="15"/>
      <c r="B64" s="2"/>
      <c r="C64" s="2"/>
      <c r="D64" s="2"/>
      <c r="E64" s="2"/>
      <c r="F64" s="2"/>
    </row>
    <row r="65" spans="1:6">
      <c r="A65" s="15"/>
      <c r="B65" s="2"/>
      <c r="C65" s="2"/>
      <c r="D65" s="2"/>
      <c r="E65" s="2"/>
      <c r="F65" s="2"/>
    </row>
    <row r="66" spans="1:6">
      <c r="A66" s="15"/>
      <c r="B66" s="2"/>
      <c r="C66" s="2"/>
      <c r="D66" s="2"/>
      <c r="E66" s="2"/>
      <c r="F66" s="2"/>
    </row>
    <row r="67" spans="1:6">
      <c r="A67" s="15"/>
      <c r="B67" s="2"/>
      <c r="C67" s="2"/>
      <c r="D67" s="2"/>
      <c r="E67" s="2"/>
      <c r="F67" s="2"/>
    </row>
    <row r="68" spans="1:6">
      <c r="A68" s="15"/>
      <c r="B68" s="2"/>
      <c r="C68" s="2"/>
      <c r="D68" s="2"/>
      <c r="E68" s="2"/>
      <c r="F68" s="2"/>
    </row>
    <row r="69" spans="1:6">
      <c r="A69" s="15"/>
      <c r="B69" s="2"/>
      <c r="C69" s="2"/>
      <c r="D69" s="2"/>
      <c r="E69" s="2"/>
      <c r="F69" s="2"/>
    </row>
    <row r="70" spans="1:6">
      <c r="A70" s="15"/>
      <c r="B70" s="2"/>
      <c r="C70" s="2"/>
      <c r="D70" s="2"/>
      <c r="E70" s="2"/>
      <c r="F70" s="2"/>
    </row>
    <row r="71" spans="1:6">
      <c r="A71" s="15"/>
      <c r="B71" s="2"/>
      <c r="C71" s="2"/>
      <c r="D71" s="2"/>
      <c r="E71" s="2"/>
      <c r="F71" s="2"/>
    </row>
    <row r="72" spans="1:6">
      <c r="A72" s="15"/>
      <c r="B72" s="2"/>
      <c r="C72" s="2"/>
      <c r="D72" s="2"/>
      <c r="E72" s="2"/>
      <c r="F72" s="2"/>
    </row>
    <row r="73" spans="1:6">
      <c r="A73" s="15"/>
      <c r="B73" s="2"/>
      <c r="C73" s="2"/>
      <c r="D73" s="2"/>
      <c r="E73" s="2"/>
      <c r="F73" s="2"/>
    </row>
    <row r="74" spans="1:6">
      <c r="A74" s="15"/>
      <c r="B74" s="2"/>
      <c r="C74" s="2"/>
      <c r="D74" s="2"/>
      <c r="E74" s="2"/>
      <c r="F74" s="2"/>
    </row>
    <row r="75" spans="1:6">
      <c r="A75" s="15"/>
      <c r="B75" s="2"/>
      <c r="C75" s="2"/>
      <c r="D75" s="2"/>
      <c r="E75" s="2"/>
      <c r="F75" s="2"/>
    </row>
    <row r="76" spans="1:6">
      <c r="A76" s="15"/>
      <c r="B76" s="2"/>
      <c r="C76" s="2"/>
      <c r="D76" s="2"/>
      <c r="E76" s="2"/>
      <c r="F76" s="2"/>
    </row>
    <row r="77" spans="1:6">
      <c r="A77" s="15"/>
      <c r="B77" s="2"/>
      <c r="C77" s="2"/>
      <c r="D77" s="2"/>
      <c r="E77" s="2"/>
      <c r="F77" s="2"/>
    </row>
    <row r="78" spans="1:6">
      <c r="A78" s="15"/>
      <c r="B78" s="2"/>
      <c r="C78" s="2"/>
      <c r="D78" s="2"/>
      <c r="E78" s="2"/>
      <c r="F78" s="2"/>
    </row>
    <row r="79" spans="1:6">
      <c r="A79" s="15"/>
      <c r="B79" s="2"/>
      <c r="C79" s="2"/>
      <c r="D79" s="2"/>
      <c r="E79" s="2"/>
      <c r="F79" s="2"/>
    </row>
    <row r="80" spans="1:6">
      <c r="A80" s="15"/>
      <c r="B80" s="2"/>
      <c r="C80" s="2"/>
      <c r="D80" s="2"/>
      <c r="E80" s="2"/>
      <c r="F80" s="2"/>
    </row>
    <row r="81" spans="1:6">
      <c r="A81" s="15"/>
      <c r="B81" s="2"/>
      <c r="C81" s="2"/>
      <c r="D81" s="2"/>
      <c r="E81" s="2"/>
      <c r="F81" s="2"/>
    </row>
    <row r="82" spans="1:6">
      <c r="A82" s="15"/>
      <c r="B82" s="2"/>
      <c r="C82" s="2"/>
      <c r="D82" s="2"/>
      <c r="E82" s="2"/>
      <c r="F82" s="2"/>
    </row>
    <row r="83" spans="1:6">
      <c r="A83" s="15"/>
      <c r="B83" s="2"/>
      <c r="C83" s="2"/>
      <c r="D83" s="2"/>
      <c r="E83" s="2"/>
      <c r="F83" s="2"/>
    </row>
    <row r="84" spans="1:6">
      <c r="A84" s="15"/>
      <c r="B84" s="2"/>
      <c r="C84" s="2"/>
      <c r="D84" s="2"/>
      <c r="E84" s="2"/>
      <c r="F84" s="2"/>
    </row>
    <row r="85" spans="1:6">
      <c r="A85" s="15"/>
      <c r="B85" s="2"/>
      <c r="C85" s="2"/>
      <c r="D85" s="2"/>
      <c r="E85" s="2"/>
      <c r="F85" s="2"/>
    </row>
    <row r="86" spans="1:6">
      <c r="A86" s="15"/>
      <c r="B86" s="2"/>
      <c r="C86" s="2"/>
      <c r="D86" s="2"/>
      <c r="E86" s="2"/>
      <c r="F86" s="2"/>
    </row>
    <row r="87" spans="1:6">
      <c r="A87" s="15"/>
      <c r="B87" s="2"/>
      <c r="C87" s="2"/>
      <c r="D87" s="2"/>
      <c r="E87" s="2"/>
      <c r="F87" s="2"/>
    </row>
    <row r="88" spans="1:6">
      <c r="A88" s="15"/>
      <c r="B88" s="2"/>
      <c r="C88" s="2"/>
      <c r="D88" s="2"/>
      <c r="E88" s="2"/>
      <c r="F88" s="2"/>
    </row>
    <row r="89" spans="1:6">
      <c r="A89" s="15"/>
      <c r="B89" s="2"/>
      <c r="C89" s="2"/>
      <c r="D89" s="2"/>
      <c r="E89" s="2"/>
      <c r="F89" s="2"/>
    </row>
    <row r="90" spans="1:6">
      <c r="A90" s="15"/>
      <c r="B90" s="2"/>
      <c r="C90" s="2"/>
      <c r="D90" s="2"/>
      <c r="E90" s="2"/>
      <c r="F90" s="2"/>
    </row>
    <row r="91" spans="1:6">
      <c r="A91" s="15"/>
      <c r="B91" s="2"/>
      <c r="C91" s="2"/>
      <c r="D91" s="2"/>
      <c r="E91" s="2"/>
      <c r="F91" s="2"/>
    </row>
    <row r="92" spans="1:6">
      <c r="A92" s="15"/>
      <c r="B92" s="2"/>
      <c r="C92" s="2"/>
      <c r="D92" s="2"/>
      <c r="E92" s="2"/>
      <c r="F92" s="2"/>
    </row>
    <row r="93" spans="1:6">
      <c r="A93" s="15"/>
      <c r="B93" s="2"/>
      <c r="C93" s="2"/>
      <c r="D93" s="2"/>
      <c r="E93" s="2"/>
      <c r="F93" s="2"/>
    </row>
    <row r="94" spans="1:6">
      <c r="A94" s="15"/>
      <c r="B94" s="2"/>
      <c r="C94" s="2"/>
      <c r="D94" s="2"/>
      <c r="E94" s="2"/>
      <c r="F94" s="2"/>
    </row>
    <row r="95" spans="1:6">
      <c r="A95" s="15"/>
      <c r="B95" s="2"/>
      <c r="C95" s="2"/>
      <c r="D95" s="2"/>
      <c r="E95" s="2"/>
      <c r="F95" s="2"/>
    </row>
    <row r="96" spans="1:6">
      <c r="A96" s="15"/>
      <c r="B96" s="2"/>
      <c r="C96" s="2"/>
      <c r="D96" s="2"/>
      <c r="E96" s="2"/>
      <c r="F96" s="2"/>
    </row>
    <row r="97" spans="1:6">
      <c r="A97" s="15"/>
      <c r="B97" s="2"/>
      <c r="C97" s="2"/>
      <c r="D97" s="2"/>
      <c r="E97" s="2"/>
      <c r="F97" s="2"/>
    </row>
    <row r="98" spans="1:6">
      <c r="A98" s="15"/>
      <c r="B98" s="2"/>
      <c r="C98" s="2"/>
      <c r="D98" s="2"/>
      <c r="E98" s="2"/>
      <c r="F98" s="2"/>
    </row>
    <row r="99" spans="1:6">
      <c r="A99" s="15"/>
      <c r="B99" s="2"/>
      <c r="C99" s="2"/>
      <c r="D99" s="2"/>
      <c r="E99" s="2"/>
      <c r="F99" s="2"/>
    </row>
    <row r="100" spans="1:6">
      <c r="A100" s="15"/>
      <c r="B100" s="2"/>
      <c r="C100" s="2"/>
      <c r="D100" s="2"/>
      <c r="E100" s="2"/>
      <c r="F100" s="2"/>
    </row>
    <row r="101" spans="1:6">
      <c r="A101" s="15"/>
      <c r="B101" s="2"/>
      <c r="C101" s="2"/>
      <c r="D101" s="2"/>
      <c r="E101" s="2"/>
      <c r="F101" s="2"/>
    </row>
    <row r="102" spans="1:6">
      <c r="A102" s="15"/>
      <c r="B102" s="2"/>
      <c r="C102" s="2"/>
      <c r="D102" s="2"/>
      <c r="E102" s="2"/>
      <c r="F102" s="2"/>
    </row>
    <row r="103" spans="1:6">
      <c r="A103" s="15"/>
      <c r="B103" s="2"/>
      <c r="C103" s="2"/>
      <c r="D103" s="2"/>
      <c r="E103" s="2"/>
      <c r="F103" s="2"/>
    </row>
    <row r="104" spans="1:6">
      <c r="A104" s="15"/>
      <c r="B104" s="2"/>
      <c r="C104" s="2"/>
      <c r="D104" s="2"/>
      <c r="E104" s="2"/>
      <c r="F104" s="2"/>
    </row>
    <row r="105" spans="1:6">
      <c r="A105" s="15"/>
      <c r="B105" s="2"/>
      <c r="C105" s="2"/>
      <c r="D105" s="2"/>
      <c r="E105" s="2"/>
      <c r="F105" s="2"/>
    </row>
    <row r="106" spans="1:6">
      <c r="A106" s="15"/>
      <c r="B106" s="2"/>
      <c r="C106" s="2"/>
      <c r="D106" s="2"/>
      <c r="E106" s="2"/>
      <c r="F106" s="2"/>
    </row>
    <row r="107" spans="1:6">
      <c r="A107" s="15"/>
      <c r="B107" s="2"/>
      <c r="C107" s="2"/>
      <c r="D107" s="2"/>
      <c r="E107" s="2"/>
      <c r="F107" s="2"/>
    </row>
    <row r="108" spans="1:6">
      <c r="A108" s="15"/>
      <c r="B108" s="2"/>
      <c r="C108" s="2"/>
      <c r="D108" s="2"/>
      <c r="E108" s="2"/>
      <c r="F108" s="2"/>
    </row>
    <row r="109" spans="1:6">
      <c r="A109" s="15"/>
      <c r="B109" s="2"/>
      <c r="C109" s="2"/>
      <c r="D109" s="2"/>
      <c r="E109" s="2"/>
      <c r="F109" s="2"/>
    </row>
    <row r="110" spans="1:6">
      <c r="A110" s="15"/>
      <c r="B110" s="2"/>
      <c r="C110" s="2"/>
      <c r="D110" s="2"/>
      <c r="E110" s="2"/>
      <c r="F110" s="2"/>
    </row>
    <row r="111" spans="1:6">
      <c r="A111" s="15"/>
      <c r="B111" s="2"/>
      <c r="C111" s="2"/>
      <c r="D111" s="2"/>
      <c r="E111" s="2"/>
      <c r="F111" s="2"/>
    </row>
    <row r="112" spans="1:6">
      <c r="A112" s="15"/>
      <c r="B112" s="2"/>
      <c r="C112" s="2"/>
      <c r="D112" s="2"/>
      <c r="E112" s="2"/>
      <c r="F112" s="2"/>
    </row>
    <row r="113" spans="1:6">
      <c r="A113" s="15"/>
      <c r="B113" s="2"/>
      <c r="C113" s="2"/>
      <c r="D113" s="2"/>
      <c r="E113" s="2"/>
      <c r="F113" s="2"/>
    </row>
    <row r="114" spans="1:6">
      <c r="A114" s="15"/>
      <c r="B114" s="2"/>
      <c r="C114" s="2"/>
      <c r="D114" s="2"/>
      <c r="E114" s="2"/>
      <c r="F114" s="2"/>
    </row>
    <row r="115" spans="1:6">
      <c r="A115" s="15"/>
      <c r="B115" s="2"/>
      <c r="C115" s="2"/>
      <c r="D115" s="2"/>
      <c r="E115" s="2"/>
      <c r="F115" s="2"/>
    </row>
    <row r="116" spans="1:6">
      <c r="A116" s="15"/>
      <c r="B116" s="2"/>
      <c r="C116" s="2"/>
      <c r="D116" s="2"/>
      <c r="E116" s="2"/>
      <c r="F116" s="2"/>
    </row>
    <row r="117" spans="1:6">
      <c r="A117" s="15"/>
      <c r="B117" s="2"/>
      <c r="C117" s="2"/>
      <c r="D117" s="2"/>
      <c r="E117" s="2"/>
      <c r="F117" s="2"/>
    </row>
    <row r="118" spans="1:6">
      <c r="A118" s="15"/>
      <c r="B118" s="2"/>
      <c r="C118" s="2"/>
      <c r="D118" s="2"/>
      <c r="E118" s="2"/>
      <c r="F118" s="2"/>
    </row>
    <row r="119" spans="1:6">
      <c r="A119" s="15"/>
      <c r="B119" s="2"/>
      <c r="C119" s="2"/>
      <c r="D119" s="2"/>
      <c r="E119" s="2"/>
      <c r="F119" s="2"/>
    </row>
    <row r="120" spans="1:6">
      <c r="A120" s="15"/>
      <c r="B120" s="2"/>
      <c r="C120" s="2"/>
      <c r="D120" s="2"/>
      <c r="E120" s="2"/>
      <c r="F120" s="2"/>
    </row>
    <row r="121" spans="1:6">
      <c r="A121" s="15"/>
      <c r="B121" s="2"/>
      <c r="C121" s="2"/>
      <c r="D121" s="2"/>
      <c r="E121" s="2"/>
      <c r="F121" s="2"/>
    </row>
    <row r="122" spans="1:6">
      <c r="A122" s="15"/>
      <c r="B122" s="2"/>
      <c r="C122" s="2"/>
      <c r="D122" s="2"/>
      <c r="E122" s="2"/>
      <c r="F122" s="2"/>
    </row>
    <row r="123" spans="1:6">
      <c r="A123" s="15"/>
      <c r="B123" s="2"/>
      <c r="C123" s="2"/>
      <c r="D123" s="2"/>
      <c r="E123" s="2"/>
      <c r="F123" s="2"/>
    </row>
    <row r="124" spans="1:6">
      <c r="A124" s="15"/>
      <c r="B124" s="2"/>
      <c r="C124" s="2"/>
      <c r="D124" s="2"/>
      <c r="E124" s="2"/>
      <c r="F124" s="2"/>
    </row>
    <row r="125" spans="1:6">
      <c r="A125" s="15"/>
      <c r="B125" s="2"/>
      <c r="C125" s="2"/>
      <c r="D125" s="2"/>
      <c r="E125" s="2"/>
      <c r="F125" s="2"/>
    </row>
    <row r="126" spans="1:6">
      <c r="A126" s="15"/>
      <c r="B126" s="2"/>
      <c r="C126" s="2"/>
      <c r="D126" s="2"/>
      <c r="E126" s="2"/>
      <c r="F126" s="2"/>
    </row>
    <row r="127" spans="1:6">
      <c r="A127" s="15"/>
      <c r="B127" s="2"/>
      <c r="C127" s="2"/>
      <c r="D127" s="2"/>
      <c r="E127" s="2"/>
      <c r="F127" s="2"/>
    </row>
    <row r="128" spans="1:6">
      <c r="A128" s="15"/>
      <c r="B128" s="2"/>
      <c r="C128" s="2"/>
      <c r="D128" s="2"/>
      <c r="E128" s="2"/>
      <c r="F128" s="2"/>
    </row>
    <row r="129" spans="1:6">
      <c r="A129" s="15"/>
      <c r="B129" s="2"/>
      <c r="C129" s="2"/>
      <c r="D129" s="2"/>
      <c r="E129" s="2"/>
      <c r="F129" s="2"/>
    </row>
    <row r="130" spans="1:6">
      <c r="A130" s="15"/>
      <c r="B130" s="2"/>
      <c r="C130" s="2"/>
      <c r="D130" s="2"/>
      <c r="E130" s="2"/>
      <c r="F130" s="2"/>
    </row>
    <row r="131" spans="1:6">
      <c r="A131" s="15"/>
      <c r="B131" s="2"/>
      <c r="C131" s="2"/>
      <c r="D131" s="2"/>
      <c r="E131" s="2"/>
      <c r="F131" s="2"/>
    </row>
    <row r="132" spans="1:6">
      <c r="A132" s="15"/>
      <c r="B132" s="2"/>
      <c r="C132" s="2"/>
      <c r="D132" s="2"/>
      <c r="E132" s="2"/>
      <c r="F132" s="2"/>
    </row>
    <row r="133" spans="1:6">
      <c r="A133" s="15"/>
      <c r="B133" s="2"/>
      <c r="C133" s="2"/>
      <c r="D133" s="2"/>
      <c r="E133" s="2"/>
      <c r="F133" s="2"/>
    </row>
    <row r="134" spans="1:6">
      <c r="A134" s="15"/>
      <c r="B134" s="2"/>
      <c r="C134" s="2"/>
      <c r="D134" s="2"/>
      <c r="E134" s="2"/>
      <c r="F134" s="2"/>
    </row>
    <row r="135" spans="1:6">
      <c r="A135" s="15"/>
      <c r="B135" s="2"/>
      <c r="C135" s="2"/>
      <c r="D135" s="2"/>
      <c r="E135" s="2"/>
      <c r="F135" s="2"/>
    </row>
    <row r="136" spans="1:6">
      <c r="A136" s="15"/>
      <c r="B136" s="2"/>
      <c r="C136" s="2"/>
      <c r="D136" s="2"/>
      <c r="E136" s="2"/>
      <c r="F136" s="2"/>
    </row>
    <row r="137" spans="1:6">
      <c r="A137" s="15"/>
      <c r="B137" s="2"/>
      <c r="C137" s="2"/>
      <c r="D137" s="2"/>
      <c r="E137" s="2"/>
      <c r="F137" s="2"/>
    </row>
    <row r="138" spans="1:6">
      <c r="A138" s="15"/>
      <c r="B138" s="2"/>
      <c r="C138" s="2"/>
      <c r="D138" s="2"/>
      <c r="E138" s="2"/>
      <c r="F138" s="2"/>
    </row>
    <row r="139" spans="1:6">
      <c r="A139" s="15"/>
      <c r="B139" s="2"/>
      <c r="C139" s="2"/>
      <c r="D139" s="2"/>
      <c r="E139" s="2"/>
      <c r="F139" s="2"/>
    </row>
    <row r="140" spans="1:6">
      <c r="A140" s="15"/>
      <c r="B140" s="2"/>
      <c r="C140" s="2"/>
      <c r="D140" s="2"/>
      <c r="E140" s="2"/>
      <c r="F140" s="2"/>
    </row>
    <row r="141" spans="1:6">
      <c r="A141" s="15"/>
      <c r="B141" s="2"/>
      <c r="C141" s="2"/>
      <c r="D141" s="2"/>
      <c r="E141" s="2"/>
      <c r="F141" s="2"/>
    </row>
    <row r="142" spans="1:6">
      <c r="A142" s="15"/>
      <c r="B142" s="2"/>
      <c r="C142" s="2"/>
      <c r="D142" s="2"/>
      <c r="E142" s="2"/>
      <c r="F142" s="2"/>
    </row>
    <row r="143" spans="1:6">
      <c r="A143" s="15"/>
      <c r="B143" s="2"/>
      <c r="C143" s="2"/>
      <c r="D143" s="2"/>
      <c r="E143" s="2"/>
      <c r="F143" s="2"/>
    </row>
    <row r="144" spans="1:6">
      <c r="A144" s="15"/>
      <c r="B144" s="2"/>
      <c r="C144" s="2"/>
      <c r="D144" s="2"/>
      <c r="E144" s="2"/>
      <c r="F144" s="2"/>
    </row>
    <row r="145" spans="1:6">
      <c r="A145" s="15"/>
      <c r="B145" s="2"/>
      <c r="C145" s="2"/>
      <c r="D145" s="2"/>
      <c r="E145" s="2"/>
      <c r="F145" s="2"/>
    </row>
    <row r="146" spans="1:6">
      <c r="A146" s="15"/>
      <c r="B146" s="2"/>
      <c r="C146" s="2"/>
      <c r="D146" s="2"/>
      <c r="E146" s="2"/>
      <c r="F146" s="2"/>
    </row>
    <row r="147" spans="1:6">
      <c r="A147" s="15"/>
      <c r="B147" s="2"/>
      <c r="C147" s="2"/>
      <c r="D147" s="2"/>
      <c r="E147" s="2"/>
      <c r="F147" s="2"/>
    </row>
    <row r="148" spans="1:6">
      <c r="A148" s="15"/>
      <c r="B148" s="2"/>
      <c r="C148" s="2"/>
      <c r="D148" s="2"/>
      <c r="E148" s="2"/>
      <c r="F148" s="2"/>
    </row>
    <row r="149" spans="1:6">
      <c r="A149" s="15"/>
      <c r="B149" s="2"/>
      <c r="C149" s="2"/>
      <c r="D149" s="2"/>
      <c r="E149" s="2"/>
      <c r="F149" s="2"/>
    </row>
    <row r="150" spans="1:6">
      <c r="A150" s="15"/>
      <c r="B150" s="2"/>
      <c r="C150" s="2"/>
      <c r="D150" s="2"/>
      <c r="E150" s="2"/>
      <c r="F150" s="2"/>
    </row>
    <row r="151" spans="1:6">
      <c r="A151" s="15"/>
      <c r="B151" s="2"/>
      <c r="C151" s="2"/>
      <c r="D151" s="2"/>
      <c r="E151" s="2"/>
      <c r="F151" s="2"/>
    </row>
    <row r="152" spans="1:6">
      <c r="A152" s="15"/>
      <c r="B152" s="2"/>
      <c r="C152" s="2"/>
      <c r="D152" s="2"/>
      <c r="E152" s="2"/>
      <c r="F152" s="2"/>
    </row>
    <row r="153" spans="1:6">
      <c r="A153" s="15"/>
      <c r="B153" s="2"/>
      <c r="C153" s="2"/>
      <c r="D153" s="2"/>
      <c r="E153" s="2"/>
      <c r="F153" s="2"/>
    </row>
    <row r="154" spans="1:6">
      <c r="A154" s="15"/>
      <c r="B154" s="2"/>
      <c r="C154" s="2"/>
      <c r="D154" s="2"/>
      <c r="E154" s="2"/>
      <c r="F154" s="2"/>
    </row>
    <row r="155" spans="1:6">
      <c r="A155" s="15"/>
      <c r="B155" s="2"/>
      <c r="C155" s="2"/>
      <c r="D155" s="2"/>
      <c r="E155" s="2"/>
      <c r="F155" s="2"/>
    </row>
    <row r="156" spans="1:6">
      <c r="A156" s="15"/>
      <c r="B156" s="2"/>
      <c r="C156" s="2"/>
      <c r="D156" s="2"/>
      <c r="E156" s="2"/>
      <c r="F156" s="2"/>
    </row>
    <row r="158" spans="1:6">
      <c r="A158" s="7"/>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23E8-4A91-485C-ADC2-FD06B9CF31A0}">
  <dimension ref="A1:J33"/>
  <sheetViews>
    <sheetView zoomScaleNormal="100" workbookViewId="0">
      <selection activeCell="L21" sqref="L21"/>
    </sheetView>
  </sheetViews>
  <sheetFormatPr baseColWidth="10" defaultColWidth="9.1640625" defaultRowHeight="15"/>
  <cols>
    <col min="1" max="9" width="9.1640625" style="20"/>
    <col min="10" max="10" width="10.1640625" style="20" bestFit="1" customWidth="1"/>
    <col min="11" max="16384" width="9.1640625" style="20"/>
  </cols>
  <sheetData>
    <row r="1" spans="1:4">
      <c r="A1" s="297" t="s">
        <v>482</v>
      </c>
      <c r="B1" s="293"/>
      <c r="C1" s="20" t="s">
        <v>482</v>
      </c>
    </row>
    <row r="2" spans="1:4">
      <c r="A2" s="292" t="s">
        <v>483</v>
      </c>
      <c r="B2" s="293"/>
    </row>
    <row r="3" spans="1:4">
      <c r="A3" s="215"/>
      <c r="B3" s="215"/>
    </row>
    <row r="4" spans="1:4">
      <c r="A4" s="294" t="s">
        <v>41</v>
      </c>
      <c r="B4" s="293"/>
    </row>
    <row r="5" spans="1:4">
      <c r="A5" s="215"/>
      <c r="B5" s="215"/>
    </row>
    <row r="6" spans="1:4">
      <c r="A6" s="58" t="s">
        <v>484</v>
      </c>
      <c r="B6" s="58" t="s">
        <v>0</v>
      </c>
    </row>
    <row r="7" spans="1:4">
      <c r="A7" s="58">
        <v>1</v>
      </c>
      <c r="B7" s="217">
        <v>6308</v>
      </c>
      <c r="C7" s="222">
        <f>B7/B$15</f>
        <v>0.86010362694300513</v>
      </c>
      <c r="D7" s="20">
        <v>0.86010362694300513</v>
      </c>
    </row>
    <row r="8" spans="1:4">
      <c r="A8" s="58">
        <v>2</v>
      </c>
      <c r="B8" s="217">
        <v>751</v>
      </c>
      <c r="C8" s="222">
        <f t="shared" ref="C8:C14" si="0">B8/B$15</f>
        <v>0.10239978183801472</v>
      </c>
      <c r="D8" s="20">
        <v>0.10239978183801472</v>
      </c>
    </row>
    <row r="9" spans="1:4">
      <c r="A9" s="58">
        <v>3</v>
      </c>
      <c r="B9" s="217">
        <v>196</v>
      </c>
      <c r="C9" s="222">
        <f t="shared" si="0"/>
        <v>2.6724843196073083E-2</v>
      </c>
      <c r="D9" s="20">
        <v>2.6724843196073083E-2</v>
      </c>
    </row>
    <row r="10" spans="1:4">
      <c r="A10" s="58">
        <v>4</v>
      </c>
      <c r="B10" s="217">
        <v>56</v>
      </c>
      <c r="C10" s="222">
        <f t="shared" si="0"/>
        <v>7.6356694845923102E-3</v>
      </c>
      <c r="D10" s="20">
        <v>7.6356694845923102E-3</v>
      </c>
    </row>
    <row r="11" spans="1:4">
      <c r="A11" s="58">
        <v>5</v>
      </c>
      <c r="B11" s="217">
        <v>16</v>
      </c>
      <c r="C11" s="222">
        <f t="shared" si="0"/>
        <v>2.1816198527406599E-3</v>
      </c>
      <c r="D11" s="20">
        <v>2.1816198527406599E-3</v>
      </c>
    </row>
    <row r="12" spans="1:4">
      <c r="A12" s="58">
        <v>6</v>
      </c>
      <c r="B12" s="217">
        <v>4</v>
      </c>
      <c r="C12" s="222">
        <f t="shared" si="0"/>
        <v>5.4540496318516497E-4</v>
      </c>
      <c r="D12" s="20">
        <v>5.4540496318516497E-4</v>
      </c>
    </row>
    <row r="13" spans="1:4">
      <c r="A13" s="58">
        <v>7</v>
      </c>
      <c r="B13" s="217">
        <v>2</v>
      </c>
      <c r="C13" s="222">
        <f t="shared" si="0"/>
        <v>2.7270248159258248E-4</v>
      </c>
      <c r="D13" s="20">
        <v>2.7270248159258248E-4</v>
      </c>
    </row>
    <row r="14" spans="1:4">
      <c r="A14" s="58">
        <v>8</v>
      </c>
      <c r="B14" s="217">
        <v>1</v>
      </c>
      <c r="C14" s="222">
        <f t="shared" si="0"/>
        <v>1.3635124079629124E-4</v>
      </c>
      <c r="D14" s="20">
        <v>1.3635124079629124E-4</v>
      </c>
    </row>
    <row r="15" spans="1:4">
      <c r="B15" s="220">
        <f>SUM(B7:B14)</f>
        <v>7334</v>
      </c>
    </row>
    <row r="16" spans="1:4">
      <c r="B16" s="220"/>
    </row>
    <row r="18" spans="1:10">
      <c r="B18" s="20" t="s">
        <v>482</v>
      </c>
    </row>
    <row r="19" spans="1:10">
      <c r="A19" s="20" t="s">
        <v>485</v>
      </c>
      <c r="B19" s="58">
        <v>1</v>
      </c>
      <c r="C19" s="58">
        <v>2</v>
      </c>
      <c r="D19" s="58">
        <v>3</v>
      </c>
      <c r="E19" s="58">
        <v>4</v>
      </c>
      <c r="F19" s="58">
        <v>5</v>
      </c>
      <c r="G19" s="58">
        <v>6</v>
      </c>
      <c r="H19" s="58">
        <v>7</v>
      </c>
      <c r="I19" s="58" t="s">
        <v>486</v>
      </c>
      <c r="J19" s="20" t="s">
        <v>80</v>
      </c>
    </row>
    <row r="20" spans="1:10">
      <c r="A20" s="37" t="s">
        <v>342</v>
      </c>
      <c r="B20" s="217">
        <v>6308</v>
      </c>
      <c r="C20" s="217">
        <v>751</v>
      </c>
      <c r="D20" s="217">
        <v>196</v>
      </c>
      <c r="E20" s="217">
        <v>56</v>
      </c>
      <c r="F20" s="217">
        <v>16</v>
      </c>
      <c r="G20" s="217">
        <v>4</v>
      </c>
      <c r="H20" s="217">
        <v>2</v>
      </c>
      <c r="I20" s="217">
        <v>1</v>
      </c>
      <c r="J20" s="20">
        <f>SUM(B20:I20)</f>
        <v>7334</v>
      </c>
    </row>
    <row r="21" spans="1:10">
      <c r="A21" s="37" t="s">
        <v>365</v>
      </c>
      <c r="B21" s="221">
        <v>28767</v>
      </c>
      <c r="C21" s="221">
        <v>2300</v>
      </c>
      <c r="D21" s="221">
        <v>620</v>
      </c>
      <c r="E21" s="221">
        <v>143</v>
      </c>
      <c r="F21" s="221">
        <v>42</v>
      </c>
      <c r="G21" s="221">
        <v>27</v>
      </c>
      <c r="H21" s="221">
        <v>11</v>
      </c>
      <c r="I21" s="221">
        <v>9</v>
      </c>
      <c r="J21" s="20">
        <f>SUM(B21:I21)</f>
        <v>31919</v>
      </c>
    </row>
    <row r="22" spans="1:10">
      <c r="A22" s="37" t="s">
        <v>343</v>
      </c>
      <c r="B22" s="20">
        <v>3872</v>
      </c>
      <c r="C22" s="20">
        <v>3208</v>
      </c>
      <c r="D22" s="20">
        <v>762</v>
      </c>
      <c r="E22" s="20">
        <v>220</v>
      </c>
      <c r="F22" s="20">
        <v>75</v>
      </c>
      <c r="G22" s="20">
        <v>21</v>
      </c>
      <c r="H22" s="20">
        <v>9</v>
      </c>
      <c r="I22" s="20">
        <v>7</v>
      </c>
      <c r="J22" s="20">
        <f>SUM(B22:I22)</f>
        <v>8174</v>
      </c>
    </row>
    <row r="23" spans="1:10">
      <c r="A23" s="37" t="s">
        <v>344</v>
      </c>
      <c r="B23" s="20">
        <v>2955</v>
      </c>
      <c r="C23" s="20">
        <v>583</v>
      </c>
      <c r="D23" s="20">
        <v>149</v>
      </c>
      <c r="E23" s="20">
        <v>34</v>
      </c>
      <c r="F23" s="20">
        <v>15</v>
      </c>
      <c r="G23" s="20">
        <v>2</v>
      </c>
      <c r="H23" s="20">
        <v>0</v>
      </c>
      <c r="I23" s="20">
        <v>1</v>
      </c>
      <c r="J23" s="20">
        <f>SUM(B23:I23)</f>
        <v>3739</v>
      </c>
    </row>
    <row r="24" spans="1:10">
      <c r="A24" s="37" t="s">
        <v>366</v>
      </c>
      <c r="B24" s="217">
        <v>12517</v>
      </c>
      <c r="C24" s="217">
        <v>1585</v>
      </c>
      <c r="D24" s="217">
        <v>448</v>
      </c>
      <c r="E24" s="217">
        <v>118</v>
      </c>
      <c r="F24" s="217">
        <v>34</v>
      </c>
      <c r="G24" s="217">
        <v>15</v>
      </c>
      <c r="H24" s="217">
        <v>2</v>
      </c>
      <c r="I24" s="247">
        <v>3</v>
      </c>
      <c r="J24" s="20">
        <f>SUM(B24:I24)</f>
        <v>14722</v>
      </c>
    </row>
    <row r="27" spans="1:10">
      <c r="B27" s="20" t="s">
        <v>482</v>
      </c>
    </row>
    <row r="28" spans="1:10">
      <c r="A28" s="20" t="s">
        <v>485</v>
      </c>
      <c r="B28" s="58" t="s">
        <v>487</v>
      </c>
      <c r="C28" s="58" t="s">
        <v>488</v>
      </c>
      <c r="D28" s="58" t="s">
        <v>489</v>
      </c>
      <c r="E28" s="58" t="s">
        <v>490</v>
      </c>
      <c r="F28" s="58" t="s">
        <v>491</v>
      </c>
      <c r="G28" s="58" t="s">
        <v>492</v>
      </c>
      <c r="H28" s="58" t="s">
        <v>493</v>
      </c>
      <c r="I28" s="58" t="s">
        <v>494</v>
      </c>
      <c r="J28" s="20" t="s">
        <v>495</v>
      </c>
    </row>
    <row r="29" spans="1:10">
      <c r="A29" s="37" t="s">
        <v>342</v>
      </c>
      <c r="B29" s="222">
        <f>B20/J20</f>
        <v>0.86010362694300513</v>
      </c>
      <c r="C29" s="222">
        <f>C20/J20</f>
        <v>0.10239978183801472</v>
      </c>
      <c r="D29" s="222">
        <f>D20/J20</f>
        <v>2.6724843196073083E-2</v>
      </c>
      <c r="E29" s="222">
        <f>E20/J20</f>
        <v>7.6356694845923102E-3</v>
      </c>
      <c r="F29" s="222">
        <f>F20/J20</f>
        <v>2.1816198527406599E-3</v>
      </c>
      <c r="G29" s="222">
        <f>G20/J20</f>
        <v>5.4540496318516497E-4</v>
      </c>
      <c r="H29" s="222">
        <f>H20/J20</f>
        <v>2.7270248159258248E-4</v>
      </c>
      <c r="I29" s="222">
        <f>I20/J20</f>
        <v>1.3635124079629124E-4</v>
      </c>
      <c r="J29" s="223">
        <f>J20/J20</f>
        <v>1</v>
      </c>
    </row>
    <row r="30" spans="1:10">
      <c r="A30" s="37" t="s">
        <v>365</v>
      </c>
      <c r="B30" s="222">
        <f>B21/J21</f>
        <v>0.90125003916162783</v>
      </c>
      <c r="C30" s="222">
        <f>C21/J21</f>
        <v>7.2057395281807074E-2</v>
      </c>
      <c r="D30" s="222">
        <f>D21/J21</f>
        <v>1.9424167423791473E-2</v>
      </c>
      <c r="E30" s="222">
        <f>E21/J21</f>
        <v>4.4800902283906137E-3</v>
      </c>
      <c r="F30" s="222">
        <f>F21/J21</f>
        <v>1.31583069645039E-3</v>
      </c>
      <c r="G30" s="222">
        <f>G21/J21</f>
        <v>8.4589116200382212E-4</v>
      </c>
      <c r="H30" s="222">
        <f>H21/J21</f>
        <v>3.4462232526081643E-4</v>
      </c>
      <c r="I30" s="222">
        <f>I21/J21</f>
        <v>2.8196372066794073E-4</v>
      </c>
      <c r="J30" s="223">
        <f t="shared" ref="J30:J33" si="1">J21/J21</f>
        <v>1</v>
      </c>
    </row>
    <row r="31" spans="1:10">
      <c r="A31" s="37" t="s">
        <v>343</v>
      </c>
      <c r="B31" s="222">
        <f>B22/J22</f>
        <v>0.47369708832884755</v>
      </c>
      <c r="C31" s="222">
        <f>C22/J22</f>
        <v>0.39246390995840469</v>
      </c>
      <c r="D31" s="222">
        <f>D22/J22</f>
        <v>9.3222412527526305E-2</v>
      </c>
      <c r="E31" s="222">
        <f>E22/J22</f>
        <v>2.6914607291411794E-2</v>
      </c>
      <c r="F31" s="222">
        <f>F22/J22</f>
        <v>9.1754343038903848E-3</v>
      </c>
      <c r="G31" s="222">
        <f>G22/J22</f>
        <v>2.5691216050893074E-3</v>
      </c>
      <c r="H31" s="222">
        <f>H22/J22</f>
        <v>1.1010521164668461E-3</v>
      </c>
      <c r="I31" s="222">
        <f>I22/J22</f>
        <v>8.5637386836310257E-4</v>
      </c>
      <c r="J31" s="223">
        <f t="shared" si="1"/>
        <v>1</v>
      </c>
    </row>
    <row r="32" spans="1:10">
      <c r="A32" s="37" t="s">
        <v>344</v>
      </c>
      <c r="B32" s="222">
        <f>B23/J23</f>
        <v>0.79031826691628781</v>
      </c>
      <c r="C32" s="222">
        <f>C23/J23</f>
        <v>0.15592404386199518</v>
      </c>
      <c r="D32" s="222">
        <f>D23/J23</f>
        <v>3.9850227333511637E-2</v>
      </c>
      <c r="E32" s="222">
        <f>E23/J23</f>
        <v>9.0933404653650712E-3</v>
      </c>
      <c r="F32" s="222">
        <f>F23/J23</f>
        <v>4.0117678523669429E-3</v>
      </c>
      <c r="G32" s="222">
        <f>G23/J23</f>
        <v>5.3490238031559236E-4</v>
      </c>
      <c r="H32" s="222">
        <f>H23/J23</f>
        <v>0</v>
      </c>
      <c r="I32" s="222">
        <f>I23/J23</f>
        <v>2.6745119015779618E-4</v>
      </c>
      <c r="J32" s="223">
        <f t="shared" si="1"/>
        <v>1</v>
      </c>
    </row>
    <row r="33" spans="1:10">
      <c r="A33" s="37" t="s">
        <v>366</v>
      </c>
      <c r="B33" s="222">
        <f>B24/J24</f>
        <v>0.85022415432685772</v>
      </c>
      <c r="C33" s="222">
        <f>C24/J24</f>
        <v>0.10766200244531993</v>
      </c>
      <c r="D33" s="222">
        <f>D24/J24</f>
        <v>3.0430648009781281E-2</v>
      </c>
      <c r="E33" s="222">
        <f>E24/J24</f>
        <v>8.0152153240048915E-3</v>
      </c>
      <c r="F33" s="222">
        <f>F24/J24</f>
        <v>2.3094688221709007E-3</v>
      </c>
      <c r="G33" s="222">
        <f>G24/J24</f>
        <v>1.0188833038989268E-3</v>
      </c>
      <c r="H33" s="222">
        <f>H24/J24</f>
        <v>1.3585110718652356E-4</v>
      </c>
      <c r="I33" s="222">
        <f>I24/J24</f>
        <v>2.0377666077978535E-4</v>
      </c>
      <c r="J33" s="223">
        <f t="shared" si="1"/>
        <v>1</v>
      </c>
    </row>
  </sheetData>
  <mergeCells count="3">
    <mergeCell ref="A1:B1"/>
    <mergeCell ref="A2:B2"/>
    <mergeCell ref="A4:B4"/>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4982-D7FA-453A-86EE-7FB13BF5FCD3}">
  <dimension ref="A1"/>
  <sheetViews>
    <sheetView workbookViewId="0"/>
  </sheetViews>
  <sheetFormatPr baseColWidth="10" defaultColWidth="8.83203125" defaultRowHeight="1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69"/>
  <sheetViews>
    <sheetView topLeftCell="B37" zoomScale="90" zoomScaleNormal="90" workbookViewId="0">
      <selection activeCell="D9" sqref="D9"/>
    </sheetView>
  </sheetViews>
  <sheetFormatPr baseColWidth="10" defaultColWidth="10.6640625" defaultRowHeight="12" customHeight="1"/>
  <cols>
    <col min="1" max="1" width="47" style="52" bestFit="1" customWidth="1"/>
    <col min="2" max="2" width="11" style="52" bestFit="1" customWidth="1"/>
    <col min="3" max="3" width="9" style="52" bestFit="1" customWidth="1"/>
    <col min="4" max="4" width="20" style="52" bestFit="1" customWidth="1"/>
    <col min="5" max="5" width="15" style="52" bestFit="1" customWidth="1"/>
    <col min="6" max="6" width="21" style="52" bestFit="1" customWidth="1"/>
    <col min="7" max="7" width="25" style="52" bestFit="1" customWidth="1"/>
    <col min="8" max="8" width="31" style="52" bestFit="1" customWidth="1"/>
    <col min="9" max="9" width="9" style="52" bestFit="1" customWidth="1"/>
    <col min="10" max="10" width="20" style="52" bestFit="1" customWidth="1"/>
    <col min="11" max="11" width="9" style="52" bestFit="1" customWidth="1"/>
    <col min="12" max="13" width="21" style="52" bestFit="1" customWidth="1"/>
    <col min="14" max="16384" width="10.6640625" style="52"/>
  </cols>
  <sheetData>
    <row r="1" spans="1:13" ht="15">
      <c r="A1" s="257" t="s">
        <v>226</v>
      </c>
      <c r="B1" s="256"/>
      <c r="C1" s="256"/>
      <c r="D1" s="256"/>
      <c r="E1" s="256"/>
      <c r="F1" s="256"/>
      <c r="G1" s="256"/>
      <c r="H1" s="256"/>
      <c r="I1" s="256"/>
      <c r="J1" s="256"/>
      <c r="K1" s="256"/>
      <c r="L1" s="256"/>
      <c r="M1" s="256"/>
    </row>
    <row r="2" spans="1:13" ht="15">
      <c r="B2" s="253" t="str">
        <f>Table_4.0_Information!$A$4</f>
        <v>Colorado</v>
      </c>
      <c r="C2" s="253"/>
      <c r="D2" s="253"/>
      <c r="E2" s="253"/>
      <c r="F2" s="253"/>
      <c r="G2" s="253"/>
      <c r="H2" s="253"/>
      <c r="I2" s="253"/>
      <c r="J2" s="253"/>
      <c r="K2" s="253"/>
      <c r="L2" s="253"/>
      <c r="M2" s="253"/>
    </row>
    <row r="3" spans="1:13" ht="57">
      <c r="A3" s="58" t="s">
        <v>199</v>
      </c>
      <c r="B3" s="59" t="s">
        <v>200</v>
      </c>
      <c r="C3" s="59" t="s">
        <v>201</v>
      </c>
      <c r="D3" s="60" t="s">
        <v>202</v>
      </c>
      <c r="E3" s="60" t="s">
        <v>203</v>
      </c>
      <c r="F3" s="59" t="s">
        <v>204</v>
      </c>
      <c r="G3" s="59" t="s">
        <v>205</v>
      </c>
      <c r="H3" s="59" t="s">
        <v>206</v>
      </c>
      <c r="I3" s="59" t="s">
        <v>207</v>
      </c>
      <c r="J3" s="59" t="s">
        <v>208</v>
      </c>
      <c r="K3" s="60" t="s">
        <v>209</v>
      </c>
      <c r="L3" s="60" t="s">
        <v>210</v>
      </c>
      <c r="M3" s="60" t="s">
        <v>211</v>
      </c>
    </row>
    <row r="4" spans="1:13" ht="15">
      <c r="A4" s="61" t="s">
        <v>200</v>
      </c>
      <c r="B4" s="62" t="s">
        <v>228</v>
      </c>
      <c r="C4" s="62" t="s">
        <v>229</v>
      </c>
      <c r="D4" s="62" t="s">
        <v>230</v>
      </c>
      <c r="E4" s="62" t="s">
        <v>231</v>
      </c>
      <c r="F4" s="62" t="s">
        <v>230</v>
      </c>
      <c r="G4" s="62" t="s">
        <v>230</v>
      </c>
      <c r="H4" s="62" t="s">
        <v>162</v>
      </c>
      <c r="I4" s="62" t="s">
        <v>232</v>
      </c>
      <c r="J4" s="62" t="s">
        <v>233</v>
      </c>
      <c r="K4" s="62" t="s">
        <v>232</v>
      </c>
      <c r="L4" s="62" t="s">
        <v>234</v>
      </c>
      <c r="M4" s="62" t="s">
        <v>162</v>
      </c>
    </row>
    <row r="5" spans="1:13" ht="15">
      <c r="A5" s="61" t="s">
        <v>201</v>
      </c>
      <c r="B5" s="62" t="s">
        <v>229</v>
      </c>
      <c r="C5" s="62" t="s">
        <v>235</v>
      </c>
      <c r="D5" s="62" t="s">
        <v>236</v>
      </c>
      <c r="E5" s="62" t="s">
        <v>237</v>
      </c>
      <c r="F5" s="62" t="s">
        <v>238</v>
      </c>
      <c r="G5" s="62" t="s">
        <v>239</v>
      </c>
      <c r="H5" s="62" t="s">
        <v>234</v>
      </c>
      <c r="I5" s="62" t="s">
        <v>233</v>
      </c>
      <c r="J5" s="62" t="s">
        <v>240</v>
      </c>
      <c r="K5" s="62" t="s">
        <v>241</v>
      </c>
      <c r="L5" s="62" t="s">
        <v>162</v>
      </c>
      <c r="M5" s="62" t="s">
        <v>162</v>
      </c>
    </row>
    <row r="6" spans="1:13" ht="32">
      <c r="A6" s="63" t="s">
        <v>212</v>
      </c>
      <c r="B6" s="62" t="s">
        <v>230</v>
      </c>
      <c r="C6" s="62" t="s">
        <v>236</v>
      </c>
      <c r="D6" s="62" t="s">
        <v>236</v>
      </c>
      <c r="E6" s="62" t="s">
        <v>232</v>
      </c>
      <c r="F6" s="62" t="s">
        <v>242</v>
      </c>
      <c r="G6" s="62" t="s">
        <v>243</v>
      </c>
      <c r="H6" s="62" t="s">
        <v>234</v>
      </c>
      <c r="I6" s="62" t="s">
        <v>231</v>
      </c>
      <c r="J6" s="62" t="s">
        <v>244</v>
      </c>
      <c r="K6" s="62" t="s">
        <v>241</v>
      </c>
      <c r="L6" s="62" t="s">
        <v>162</v>
      </c>
      <c r="M6" s="62" t="s">
        <v>162</v>
      </c>
    </row>
    <row r="7" spans="1:13" ht="15">
      <c r="A7" s="61" t="s">
        <v>213</v>
      </c>
      <c r="B7" s="62" t="s">
        <v>231</v>
      </c>
      <c r="C7" s="62" t="s">
        <v>237</v>
      </c>
      <c r="D7" s="62" t="s">
        <v>232</v>
      </c>
      <c r="E7" s="62" t="s">
        <v>237</v>
      </c>
      <c r="F7" s="62" t="s">
        <v>245</v>
      </c>
      <c r="G7" s="62" t="s">
        <v>245</v>
      </c>
      <c r="H7" s="62" t="s">
        <v>162</v>
      </c>
      <c r="I7" s="62" t="s">
        <v>232</v>
      </c>
      <c r="J7" s="62" t="s">
        <v>230</v>
      </c>
      <c r="K7" s="62" t="s">
        <v>162</v>
      </c>
      <c r="L7" s="62" t="s">
        <v>162</v>
      </c>
      <c r="M7" s="62" t="s">
        <v>162</v>
      </c>
    </row>
    <row r="8" spans="1:13" ht="15">
      <c r="A8" s="61" t="s">
        <v>204</v>
      </c>
      <c r="B8" s="62" t="s">
        <v>230</v>
      </c>
      <c r="C8" s="62" t="s">
        <v>238</v>
      </c>
      <c r="D8" s="62" t="s">
        <v>242</v>
      </c>
      <c r="E8" s="62" t="s">
        <v>245</v>
      </c>
      <c r="F8" s="62" t="s">
        <v>246</v>
      </c>
      <c r="G8" s="62" t="s">
        <v>247</v>
      </c>
      <c r="H8" s="62" t="s">
        <v>248</v>
      </c>
      <c r="I8" s="62" t="s">
        <v>249</v>
      </c>
      <c r="J8" s="62" t="s">
        <v>230</v>
      </c>
      <c r="K8" s="62" t="s">
        <v>234</v>
      </c>
      <c r="L8" s="62" t="s">
        <v>234</v>
      </c>
      <c r="M8" s="62" t="s">
        <v>162</v>
      </c>
    </row>
    <row r="9" spans="1:13" ht="15">
      <c r="A9" s="61" t="s">
        <v>205</v>
      </c>
      <c r="B9" s="62" t="s">
        <v>230</v>
      </c>
      <c r="C9" s="62" t="s">
        <v>239</v>
      </c>
      <c r="D9" s="62" t="s">
        <v>243</v>
      </c>
      <c r="E9" s="62" t="s">
        <v>245</v>
      </c>
      <c r="F9" s="62" t="s">
        <v>247</v>
      </c>
      <c r="G9" s="62" t="s">
        <v>247</v>
      </c>
      <c r="H9" s="62" t="s">
        <v>231</v>
      </c>
      <c r="I9" s="62" t="s">
        <v>249</v>
      </c>
      <c r="J9" s="62" t="s">
        <v>232</v>
      </c>
      <c r="K9" s="62" t="s">
        <v>234</v>
      </c>
      <c r="L9" s="62" t="s">
        <v>162</v>
      </c>
      <c r="M9" s="62" t="s">
        <v>162</v>
      </c>
    </row>
    <row r="10" spans="1:13" ht="15">
      <c r="A10" s="61" t="s">
        <v>206</v>
      </c>
      <c r="B10" s="62" t="s">
        <v>162</v>
      </c>
      <c r="C10" s="62" t="s">
        <v>234</v>
      </c>
      <c r="D10" s="62" t="s">
        <v>234</v>
      </c>
      <c r="E10" s="62" t="s">
        <v>162</v>
      </c>
      <c r="F10" s="62" t="s">
        <v>248</v>
      </c>
      <c r="G10" s="62" t="s">
        <v>231</v>
      </c>
      <c r="H10" s="62" t="s">
        <v>248</v>
      </c>
      <c r="I10" s="62" t="s">
        <v>162</v>
      </c>
      <c r="J10" s="62" t="s">
        <v>234</v>
      </c>
      <c r="K10" s="62" t="s">
        <v>162</v>
      </c>
      <c r="L10" s="62" t="s">
        <v>234</v>
      </c>
      <c r="M10" s="62" t="s">
        <v>162</v>
      </c>
    </row>
    <row r="11" spans="1:13" ht="15">
      <c r="A11" s="61" t="s">
        <v>207</v>
      </c>
      <c r="B11" s="62" t="s">
        <v>232</v>
      </c>
      <c r="C11" s="62" t="s">
        <v>233</v>
      </c>
      <c r="D11" s="62" t="s">
        <v>231</v>
      </c>
      <c r="E11" s="62" t="s">
        <v>232</v>
      </c>
      <c r="F11" s="62" t="s">
        <v>249</v>
      </c>
      <c r="G11" s="62" t="s">
        <v>249</v>
      </c>
      <c r="H11" s="62" t="s">
        <v>162</v>
      </c>
      <c r="I11" s="62" t="s">
        <v>250</v>
      </c>
      <c r="J11" s="62" t="s">
        <v>231</v>
      </c>
      <c r="K11" s="62" t="s">
        <v>231</v>
      </c>
      <c r="L11" s="62" t="s">
        <v>162</v>
      </c>
      <c r="M11" s="62" t="s">
        <v>162</v>
      </c>
    </row>
    <row r="12" spans="1:13" ht="15">
      <c r="A12" s="61" t="s">
        <v>208</v>
      </c>
      <c r="B12" s="62" t="s">
        <v>233</v>
      </c>
      <c r="C12" s="62" t="s">
        <v>240</v>
      </c>
      <c r="D12" s="62" t="s">
        <v>244</v>
      </c>
      <c r="E12" s="62" t="s">
        <v>230</v>
      </c>
      <c r="F12" s="62" t="s">
        <v>230</v>
      </c>
      <c r="G12" s="62" t="s">
        <v>232</v>
      </c>
      <c r="H12" s="62" t="s">
        <v>234</v>
      </c>
      <c r="I12" s="62" t="s">
        <v>231</v>
      </c>
      <c r="J12" s="62" t="s">
        <v>251</v>
      </c>
      <c r="K12" s="62" t="s">
        <v>252</v>
      </c>
      <c r="L12" s="62" t="s">
        <v>162</v>
      </c>
      <c r="M12" s="62" t="s">
        <v>162</v>
      </c>
    </row>
    <row r="13" spans="1:13" ht="15">
      <c r="A13" s="61" t="s">
        <v>214</v>
      </c>
      <c r="B13" s="62" t="s">
        <v>232</v>
      </c>
      <c r="C13" s="62" t="s">
        <v>241</v>
      </c>
      <c r="D13" s="62" t="s">
        <v>241</v>
      </c>
      <c r="E13" s="62" t="s">
        <v>162</v>
      </c>
      <c r="F13" s="62" t="s">
        <v>234</v>
      </c>
      <c r="G13" s="62" t="s">
        <v>234</v>
      </c>
      <c r="H13" s="62" t="s">
        <v>162</v>
      </c>
      <c r="I13" s="62" t="s">
        <v>231</v>
      </c>
      <c r="J13" s="62" t="s">
        <v>252</v>
      </c>
      <c r="K13" s="62" t="s">
        <v>253</v>
      </c>
      <c r="L13" s="62" t="s">
        <v>162</v>
      </c>
      <c r="M13" s="62" t="s">
        <v>162</v>
      </c>
    </row>
    <row r="14" spans="1:13" ht="15">
      <c r="A14" s="61" t="s">
        <v>215</v>
      </c>
      <c r="B14" s="62" t="s">
        <v>234</v>
      </c>
      <c r="C14" s="62" t="s">
        <v>162</v>
      </c>
      <c r="D14" s="62" t="s">
        <v>162</v>
      </c>
      <c r="E14" s="62" t="s">
        <v>162</v>
      </c>
      <c r="F14" s="62" t="s">
        <v>234</v>
      </c>
      <c r="G14" s="62" t="s">
        <v>162</v>
      </c>
      <c r="H14" s="62" t="s">
        <v>234</v>
      </c>
      <c r="I14" s="62" t="s">
        <v>162</v>
      </c>
      <c r="J14" s="62" t="s">
        <v>162</v>
      </c>
      <c r="K14" s="62" t="s">
        <v>162</v>
      </c>
      <c r="L14" s="62" t="s">
        <v>254</v>
      </c>
      <c r="M14" s="62" t="s">
        <v>162</v>
      </c>
    </row>
    <row r="15" spans="1:13" ht="15">
      <c r="A15" s="61" t="s">
        <v>216</v>
      </c>
      <c r="B15" s="62" t="s">
        <v>162</v>
      </c>
      <c r="C15" s="62" t="s">
        <v>162</v>
      </c>
      <c r="D15" s="62" t="s">
        <v>162</v>
      </c>
      <c r="E15" s="62" t="s">
        <v>162</v>
      </c>
      <c r="F15" s="62" t="s">
        <v>162</v>
      </c>
      <c r="G15" s="62" t="s">
        <v>162</v>
      </c>
      <c r="H15" s="62" t="s">
        <v>162</v>
      </c>
      <c r="I15" s="62" t="s">
        <v>162</v>
      </c>
      <c r="J15" s="62" t="s">
        <v>162</v>
      </c>
      <c r="K15" s="62" t="s">
        <v>162</v>
      </c>
      <c r="L15" s="62" t="s">
        <v>162</v>
      </c>
      <c r="M15" s="62" t="s">
        <v>243</v>
      </c>
    </row>
    <row r="16" spans="1:13" ht="15">
      <c r="B16" s="253" t="str">
        <f>Table_4.0_Information!$A$5</f>
        <v>Kentucky</v>
      </c>
      <c r="C16" s="253"/>
      <c r="D16" s="253"/>
      <c r="E16" s="253"/>
      <c r="F16" s="253"/>
      <c r="G16" s="253"/>
      <c r="H16" s="253"/>
      <c r="I16" s="253"/>
      <c r="J16" s="253"/>
      <c r="K16" s="253"/>
      <c r="L16" s="253"/>
      <c r="M16" s="253"/>
    </row>
    <row r="17" spans="1:13" ht="57">
      <c r="A17" s="58" t="s">
        <v>199</v>
      </c>
      <c r="B17" s="59" t="s">
        <v>200</v>
      </c>
      <c r="C17" s="59" t="s">
        <v>201</v>
      </c>
      <c r="D17" s="60" t="s">
        <v>202</v>
      </c>
      <c r="E17" s="60" t="s">
        <v>203</v>
      </c>
      <c r="F17" s="59" t="s">
        <v>204</v>
      </c>
      <c r="G17" s="59" t="s">
        <v>205</v>
      </c>
      <c r="H17" s="59" t="s">
        <v>206</v>
      </c>
      <c r="I17" s="59" t="s">
        <v>207</v>
      </c>
      <c r="J17" s="59" t="s">
        <v>208</v>
      </c>
      <c r="K17" s="60" t="s">
        <v>209</v>
      </c>
      <c r="L17" s="60" t="s">
        <v>210</v>
      </c>
      <c r="M17" s="60" t="s">
        <v>211</v>
      </c>
    </row>
    <row r="18" spans="1:13" ht="15">
      <c r="A18" s="61" t="s">
        <v>200</v>
      </c>
      <c r="B18" s="62" t="s">
        <v>256</v>
      </c>
      <c r="C18" s="62" t="s">
        <v>257</v>
      </c>
      <c r="D18" s="62" t="s">
        <v>252</v>
      </c>
      <c r="E18" s="62" t="s">
        <v>258</v>
      </c>
      <c r="F18" s="62" t="s">
        <v>259</v>
      </c>
      <c r="G18" s="62" t="s">
        <v>260</v>
      </c>
      <c r="H18" s="62" t="s">
        <v>255</v>
      </c>
      <c r="I18" s="62" t="s">
        <v>229</v>
      </c>
      <c r="J18" s="62" t="s">
        <v>261</v>
      </c>
      <c r="K18" s="62" t="s">
        <v>255</v>
      </c>
      <c r="L18" s="62" t="s">
        <v>255</v>
      </c>
      <c r="M18" s="62" t="s">
        <v>162</v>
      </c>
    </row>
    <row r="19" spans="1:13" ht="15">
      <c r="A19" s="61" t="s">
        <v>201</v>
      </c>
      <c r="B19" s="62" t="s">
        <v>257</v>
      </c>
      <c r="C19" s="62" t="s">
        <v>262</v>
      </c>
      <c r="D19" s="62" t="s">
        <v>263</v>
      </c>
      <c r="E19" s="62" t="s">
        <v>264</v>
      </c>
      <c r="F19" s="62" t="s">
        <v>265</v>
      </c>
      <c r="G19" s="62" t="s">
        <v>265</v>
      </c>
      <c r="H19" s="62" t="s">
        <v>162</v>
      </c>
      <c r="I19" s="62" t="s">
        <v>266</v>
      </c>
      <c r="J19" s="62" t="s">
        <v>267</v>
      </c>
      <c r="K19" s="62" t="s">
        <v>239</v>
      </c>
      <c r="L19" s="62" t="s">
        <v>162</v>
      </c>
      <c r="M19" s="62" t="s">
        <v>255</v>
      </c>
    </row>
    <row r="20" spans="1:13" ht="32">
      <c r="A20" s="63" t="s">
        <v>212</v>
      </c>
      <c r="B20" s="62" t="s">
        <v>252</v>
      </c>
      <c r="C20" s="62" t="s">
        <v>263</v>
      </c>
      <c r="D20" s="62" t="s">
        <v>263</v>
      </c>
      <c r="E20" s="62" t="s">
        <v>268</v>
      </c>
      <c r="F20" s="62" t="s">
        <v>269</v>
      </c>
      <c r="G20" s="62" t="s">
        <v>269</v>
      </c>
      <c r="H20" s="62" t="s">
        <v>162</v>
      </c>
      <c r="I20" s="62" t="s">
        <v>245</v>
      </c>
      <c r="J20" s="62" t="s">
        <v>270</v>
      </c>
      <c r="K20" s="62" t="s">
        <v>241</v>
      </c>
      <c r="L20" s="62" t="s">
        <v>162</v>
      </c>
      <c r="M20" s="62" t="s">
        <v>255</v>
      </c>
    </row>
    <row r="21" spans="1:13" ht="15">
      <c r="A21" s="61" t="s">
        <v>213</v>
      </c>
      <c r="B21" s="62" t="s">
        <v>258</v>
      </c>
      <c r="C21" s="62" t="s">
        <v>264</v>
      </c>
      <c r="D21" s="62" t="s">
        <v>268</v>
      </c>
      <c r="E21" s="62" t="s">
        <v>264</v>
      </c>
      <c r="F21" s="62" t="s">
        <v>271</v>
      </c>
      <c r="G21" s="62" t="s">
        <v>271</v>
      </c>
      <c r="H21" s="62" t="s">
        <v>162</v>
      </c>
      <c r="I21" s="62" t="s">
        <v>272</v>
      </c>
      <c r="J21" s="62" t="s">
        <v>273</v>
      </c>
      <c r="K21" s="62" t="s">
        <v>258</v>
      </c>
      <c r="L21" s="62" t="s">
        <v>162</v>
      </c>
      <c r="M21" s="62" t="s">
        <v>162</v>
      </c>
    </row>
    <row r="22" spans="1:13" ht="15">
      <c r="A22" s="61" t="s">
        <v>204</v>
      </c>
      <c r="B22" s="62" t="s">
        <v>259</v>
      </c>
      <c r="C22" s="62" t="s">
        <v>265</v>
      </c>
      <c r="D22" s="62" t="s">
        <v>269</v>
      </c>
      <c r="E22" s="62" t="s">
        <v>271</v>
      </c>
      <c r="F22" s="62" t="s">
        <v>274</v>
      </c>
      <c r="G22" s="62" t="s">
        <v>275</v>
      </c>
      <c r="H22" s="62" t="s">
        <v>276</v>
      </c>
      <c r="I22" s="62" t="s">
        <v>252</v>
      </c>
      <c r="J22" s="62" t="s">
        <v>277</v>
      </c>
      <c r="K22" s="62" t="s">
        <v>255</v>
      </c>
      <c r="L22" s="62" t="s">
        <v>255</v>
      </c>
      <c r="M22" s="62" t="s">
        <v>255</v>
      </c>
    </row>
    <row r="23" spans="1:13" ht="15">
      <c r="A23" s="61" t="s">
        <v>205</v>
      </c>
      <c r="B23" s="62" t="s">
        <v>260</v>
      </c>
      <c r="C23" s="62" t="s">
        <v>265</v>
      </c>
      <c r="D23" s="62" t="s">
        <v>269</v>
      </c>
      <c r="E23" s="62" t="s">
        <v>271</v>
      </c>
      <c r="F23" s="62" t="s">
        <v>275</v>
      </c>
      <c r="G23" s="62" t="s">
        <v>275</v>
      </c>
      <c r="H23" s="62" t="s">
        <v>255</v>
      </c>
      <c r="I23" s="62" t="s">
        <v>252</v>
      </c>
      <c r="J23" s="62" t="s">
        <v>277</v>
      </c>
      <c r="K23" s="62" t="s">
        <v>255</v>
      </c>
      <c r="L23" s="62" t="s">
        <v>255</v>
      </c>
      <c r="M23" s="62" t="s">
        <v>255</v>
      </c>
    </row>
    <row r="24" spans="1:13" ht="15">
      <c r="A24" s="61" t="s">
        <v>206</v>
      </c>
      <c r="B24" s="62" t="s">
        <v>255</v>
      </c>
      <c r="C24" s="62" t="s">
        <v>162</v>
      </c>
      <c r="D24" s="62" t="s">
        <v>162</v>
      </c>
      <c r="E24" s="62" t="s">
        <v>162</v>
      </c>
      <c r="F24" s="62" t="s">
        <v>276</v>
      </c>
      <c r="G24" s="62" t="s">
        <v>255</v>
      </c>
      <c r="H24" s="62" t="s">
        <v>276</v>
      </c>
      <c r="I24" s="62" t="s">
        <v>162</v>
      </c>
      <c r="J24" s="62" t="s">
        <v>162</v>
      </c>
      <c r="K24" s="62" t="s">
        <v>162</v>
      </c>
      <c r="L24" s="62" t="s">
        <v>162</v>
      </c>
      <c r="M24" s="62" t="s">
        <v>162</v>
      </c>
    </row>
    <row r="25" spans="1:13" ht="15">
      <c r="A25" s="61" t="s">
        <v>207</v>
      </c>
      <c r="B25" s="62" t="s">
        <v>229</v>
      </c>
      <c r="C25" s="62" t="s">
        <v>266</v>
      </c>
      <c r="D25" s="62" t="s">
        <v>245</v>
      </c>
      <c r="E25" s="62" t="s">
        <v>272</v>
      </c>
      <c r="F25" s="62" t="s">
        <v>252</v>
      </c>
      <c r="G25" s="62" t="s">
        <v>252</v>
      </c>
      <c r="H25" s="62" t="s">
        <v>162</v>
      </c>
      <c r="I25" s="62" t="s">
        <v>278</v>
      </c>
      <c r="J25" s="62" t="s">
        <v>254</v>
      </c>
      <c r="K25" s="62" t="s">
        <v>255</v>
      </c>
      <c r="L25" s="62" t="s">
        <v>255</v>
      </c>
      <c r="M25" s="62" t="s">
        <v>162</v>
      </c>
    </row>
    <row r="26" spans="1:13" ht="15">
      <c r="A26" s="61" t="s">
        <v>208</v>
      </c>
      <c r="B26" s="62" t="s">
        <v>261</v>
      </c>
      <c r="C26" s="62" t="s">
        <v>267</v>
      </c>
      <c r="D26" s="62" t="s">
        <v>270</v>
      </c>
      <c r="E26" s="62" t="s">
        <v>273</v>
      </c>
      <c r="F26" s="62" t="s">
        <v>277</v>
      </c>
      <c r="G26" s="62" t="s">
        <v>277</v>
      </c>
      <c r="H26" s="62" t="s">
        <v>162</v>
      </c>
      <c r="I26" s="62" t="s">
        <v>254</v>
      </c>
      <c r="J26" s="62" t="s">
        <v>279</v>
      </c>
      <c r="K26" s="62" t="s">
        <v>280</v>
      </c>
      <c r="L26" s="62" t="s">
        <v>162</v>
      </c>
      <c r="M26" s="62" t="s">
        <v>230</v>
      </c>
    </row>
    <row r="27" spans="1:13" ht="15">
      <c r="A27" s="61" t="s">
        <v>214</v>
      </c>
      <c r="B27" s="62" t="s">
        <v>255</v>
      </c>
      <c r="C27" s="62" t="s">
        <v>239</v>
      </c>
      <c r="D27" s="62" t="s">
        <v>241</v>
      </c>
      <c r="E27" s="62" t="s">
        <v>258</v>
      </c>
      <c r="F27" s="62" t="s">
        <v>255</v>
      </c>
      <c r="G27" s="62" t="s">
        <v>255</v>
      </c>
      <c r="H27" s="62" t="s">
        <v>162</v>
      </c>
      <c r="I27" s="62" t="s">
        <v>255</v>
      </c>
      <c r="J27" s="62" t="s">
        <v>280</v>
      </c>
      <c r="K27" s="62" t="s">
        <v>281</v>
      </c>
      <c r="L27" s="62" t="s">
        <v>162</v>
      </c>
      <c r="M27" s="62" t="s">
        <v>255</v>
      </c>
    </row>
    <row r="28" spans="1:13" ht="15">
      <c r="A28" s="61" t="s">
        <v>215</v>
      </c>
      <c r="B28" s="62" t="s">
        <v>255</v>
      </c>
      <c r="C28" s="62" t="s">
        <v>162</v>
      </c>
      <c r="D28" s="62" t="s">
        <v>162</v>
      </c>
      <c r="E28" s="62" t="s">
        <v>162</v>
      </c>
      <c r="F28" s="62" t="s">
        <v>255</v>
      </c>
      <c r="G28" s="62" t="s">
        <v>255</v>
      </c>
      <c r="H28" s="62" t="s">
        <v>162</v>
      </c>
      <c r="I28" s="62" t="s">
        <v>255</v>
      </c>
      <c r="J28" s="62" t="s">
        <v>162</v>
      </c>
      <c r="K28" s="62" t="s">
        <v>162</v>
      </c>
      <c r="L28" s="62" t="s">
        <v>261</v>
      </c>
      <c r="M28" s="62" t="s">
        <v>162</v>
      </c>
    </row>
    <row r="29" spans="1:13" ht="15">
      <c r="A29" s="61" t="s">
        <v>216</v>
      </c>
      <c r="B29" s="62" t="s">
        <v>162</v>
      </c>
      <c r="C29" s="62" t="s">
        <v>255</v>
      </c>
      <c r="D29" s="62" t="s">
        <v>255</v>
      </c>
      <c r="E29" s="62" t="s">
        <v>162</v>
      </c>
      <c r="F29" s="62" t="s">
        <v>255</v>
      </c>
      <c r="G29" s="62" t="s">
        <v>255</v>
      </c>
      <c r="H29" s="62" t="s">
        <v>162</v>
      </c>
      <c r="I29" s="62" t="s">
        <v>162</v>
      </c>
      <c r="J29" s="62" t="s">
        <v>230</v>
      </c>
      <c r="K29" s="62" t="s">
        <v>255</v>
      </c>
      <c r="L29" s="62" t="s">
        <v>162</v>
      </c>
      <c r="M29" s="62" t="s">
        <v>282</v>
      </c>
    </row>
    <row r="30" spans="1:13" ht="15">
      <c r="B30" s="253" t="str">
        <f>Table_4.0_Information!$A$6</f>
        <v>New Mexico</v>
      </c>
      <c r="C30" s="253"/>
      <c r="D30" s="253"/>
      <c r="E30" s="253"/>
      <c r="F30" s="253"/>
      <c r="G30" s="253"/>
      <c r="H30" s="253"/>
      <c r="I30" s="253"/>
      <c r="J30" s="253"/>
      <c r="K30" s="253"/>
      <c r="L30" s="253"/>
      <c r="M30" s="253"/>
    </row>
    <row r="31" spans="1:13" ht="12" customHeight="1">
      <c r="A31" s="58" t="s">
        <v>199</v>
      </c>
      <c r="B31" s="59" t="s">
        <v>200</v>
      </c>
      <c r="C31" s="59" t="s">
        <v>201</v>
      </c>
      <c r="D31" s="60" t="s">
        <v>202</v>
      </c>
      <c r="E31" s="60" t="s">
        <v>203</v>
      </c>
      <c r="F31" s="59" t="s">
        <v>204</v>
      </c>
      <c r="G31" s="59" t="s">
        <v>205</v>
      </c>
      <c r="H31" s="59" t="s">
        <v>206</v>
      </c>
      <c r="I31" s="59" t="s">
        <v>207</v>
      </c>
      <c r="J31" s="59" t="s">
        <v>208</v>
      </c>
      <c r="K31" s="60" t="s">
        <v>209</v>
      </c>
      <c r="L31" s="60" t="s">
        <v>210</v>
      </c>
      <c r="M31" s="60" t="s">
        <v>211</v>
      </c>
    </row>
    <row r="32" spans="1:13" ht="12" customHeight="1">
      <c r="A32" s="61" t="s">
        <v>200</v>
      </c>
      <c r="B32" s="62" t="s">
        <v>283</v>
      </c>
      <c r="C32" s="62" t="s">
        <v>243</v>
      </c>
      <c r="D32" s="62" t="s">
        <v>243</v>
      </c>
      <c r="E32" s="62" t="s">
        <v>162</v>
      </c>
      <c r="F32" s="62" t="s">
        <v>249</v>
      </c>
      <c r="G32" s="62" t="s">
        <v>249</v>
      </c>
      <c r="H32" s="62" t="s">
        <v>162</v>
      </c>
      <c r="I32" s="62" t="s">
        <v>162</v>
      </c>
      <c r="J32" s="62" t="s">
        <v>162</v>
      </c>
      <c r="K32" s="62" t="s">
        <v>162</v>
      </c>
      <c r="L32" s="62" t="s">
        <v>162</v>
      </c>
      <c r="M32" s="62" t="s">
        <v>162</v>
      </c>
    </row>
    <row r="33" spans="1:13" ht="12" customHeight="1">
      <c r="A33" s="61" t="s">
        <v>201</v>
      </c>
      <c r="B33" s="62" t="s">
        <v>243</v>
      </c>
      <c r="C33" s="62" t="s">
        <v>284</v>
      </c>
      <c r="D33" s="62" t="s">
        <v>285</v>
      </c>
      <c r="E33" s="62" t="s">
        <v>286</v>
      </c>
      <c r="F33" s="62" t="s">
        <v>287</v>
      </c>
      <c r="G33" s="62" t="s">
        <v>287</v>
      </c>
      <c r="H33" s="62" t="s">
        <v>162</v>
      </c>
      <c r="I33" s="62" t="s">
        <v>241</v>
      </c>
      <c r="J33" s="62" t="s">
        <v>288</v>
      </c>
      <c r="K33" s="62" t="s">
        <v>289</v>
      </c>
      <c r="L33" s="62" t="s">
        <v>234</v>
      </c>
      <c r="M33" s="62" t="s">
        <v>162</v>
      </c>
    </row>
    <row r="34" spans="1:13" ht="12" customHeight="1">
      <c r="A34" s="63" t="s">
        <v>212</v>
      </c>
      <c r="B34" s="62" t="s">
        <v>243</v>
      </c>
      <c r="C34" s="62" t="s">
        <v>285</v>
      </c>
      <c r="D34" s="62" t="s">
        <v>285</v>
      </c>
      <c r="E34" s="62" t="s">
        <v>290</v>
      </c>
      <c r="F34" s="62" t="s">
        <v>241</v>
      </c>
      <c r="G34" s="62" t="s">
        <v>241</v>
      </c>
      <c r="H34" s="62" t="s">
        <v>162</v>
      </c>
      <c r="I34" s="62" t="s">
        <v>249</v>
      </c>
      <c r="J34" s="62" t="s">
        <v>291</v>
      </c>
      <c r="K34" s="62" t="s">
        <v>290</v>
      </c>
      <c r="L34" s="62" t="s">
        <v>162</v>
      </c>
      <c r="M34" s="62" t="s">
        <v>162</v>
      </c>
    </row>
    <row r="35" spans="1:13" ht="12" customHeight="1">
      <c r="A35" s="61" t="s">
        <v>213</v>
      </c>
      <c r="B35" s="62" t="s">
        <v>162</v>
      </c>
      <c r="C35" s="62" t="s">
        <v>286</v>
      </c>
      <c r="D35" s="62" t="s">
        <v>290</v>
      </c>
      <c r="E35" s="62" t="s">
        <v>286</v>
      </c>
      <c r="F35" s="62" t="s">
        <v>289</v>
      </c>
      <c r="G35" s="62" t="s">
        <v>289</v>
      </c>
      <c r="H35" s="62" t="s">
        <v>162</v>
      </c>
      <c r="I35" s="62" t="s">
        <v>229</v>
      </c>
      <c r="J35" s="62" t="s">
        <v>233</v>
      </c>
      <c r="K35" s="62" t="s">
        <v>233</v>
      </c>
      <c r="L35" s="62" t="s">
        <v>234</v>
      </c>
      <c r="M35" s="62" t="s">
        <v>162</v>
      </c>
    </row>
    <row r="36" spans="1:13" ht="12" customHeight="1">
      <c r="A36" s="61" t="s">
        <v>204</v>
      </c>
      <c r="B36" s="62" t="s">
        <v>249</v>
      </c>
      <c r="C36" s="62" t="s">
        <v>287</v>
      </c>
      <c r="D36" s="62" t="s">
        <v>241</v>
      </c>
      <c r="E36" s="62" t="s">
        <v>289</v>
      </c>
      <c r="F36" s="62" t="s">
        <v>292</v>
      </c>
      <c r="G36" s="62" t="s">
        <v>293</v>
      </c>
      <c r="H36" s="62" t="s">
        <v>294</v>
      </c>
      <c r="I36" s="62" t="s">
        <v>230</v>
      </c>
      <c r="J36" s="62" t="s">
        <v>233</v>
      </c>
      <c r="K36" s="62" t="s">
        <v>234</v>
      </c>
      <c r="L36" s="62" t="s">
        <v>162</v>
      </c>
      <c r="M36" s="62" t="s">
        <v>162</v>
      </c>
    </row>
    <row r="37" spans="1:13" ht="12" customHeight="1">
      <c r="A37" s="61" t="s">
        <v>205</v>
      </c>
      <c r="B37" s="62" t="s">
        <v>249</v>
      </c>
      <c r="C37" s="62" t="s">
        <v>287</v>
      </c>
      <c r="D37" s="62" t="s">
        <v>241</v>
      </c>
      <c r="E37" s="62" t="s">
        <v>289</v>
      </c>
      <c r="F37" s="62" t="s">
        <v>293</v>
      </c>
      <c r="G37" s="62" t="s">
        <v>293</v>
      </c>
      <c r="H37" s="62" t="s">
        <v>234</v>
      </c>
      <c r="I37" s="62" t="s">
        <v>230</v>
      </c>
      <c r="J37" s="62" t="s">
        <v>233</v>
      </c>
      <c r="K37" s="62" t="s">
        <v>234</v>
      </c>
      <c r="L37" s="62" t="s">
        <v>162</v>
      </c>
      <c r="M37" s="62" t="s">
        <v>162</v>
      </c>
    </row>
    <row r="38" spans="1:13" ht="12" customHeight="1">
      <c r="A38" s="61" t="s">
        <v>206</v>
      </c>
      <c r="B38" s="62" t="s">
        <v>162</v>
      </c>
      <c r="C38" s="62" t="s">
        <v>162</v>
      </c>
      <c r="D38" s="62" t="s">
        <v>162</v>
      </c>
      <c r="E38" s="62" t="s">
        <v>162</v>
      </c>
      <c r="F38" s="62" t="s">
        <v>294</v>
      </c>
      <c r="G38" s="62" t="s">
        <v>234</v>
      </c>
      <c r="H38" s="62" t="s">
        <v>294</v>
      </c>
      <c r="I38" s="62" t="s">
        <v>162</v>
      </c>
      <c r="J38" s="62" t="s">
        <v>162</v>
      </c>
      <c r="K38" s="62" t="s">
        <v>162</v>
      </c>
      <c r="L38" s="62" t="s">
        <v>162</v>
      </c>
      <c r="M38" s="62" t="s">
        <v>162</v>
      </c>
    </row>
    <row r="39" spans="1:13" ht="12" customHeight="1">
      <c r="A39" s="61" t="s">
        <v>207</v>
      </c>
      <c r="B39" s="62" t="s">
        <v>162</v>
      </c>
      <c r="C39" s="62" t="s">
        <v>241</v>
      </c>
      <c r="D39" s="62" t="s">
        <v>249</v>
      </c>
      <c r="E39" s="62" t="s">
        <v>229</v>
      </c>
      <c r="F39" s="62" t="s">
        <v>230</v>
      </c>
      <c r="G39" s="62" t="s">
        <v>230</v>
      </c>
      <c r="H39" s="62" t="s">
        <v>162</v>
      </c>
      <c r="I39" s="62" t="s">
        <v>295</v>
      </c>
      <c r="J39" s="62" t="s">
        <v>162</v>
      </c>
      <c r="K39" s="62" t="s">
        <v>249</v>
      </c>
      <c r="L39" s="62" t="s">
        <v>162</v>
      </c>
      <c r="M39" s="62" t="s">
        <v>162</v>
      </c>
    </row>
    <row r="40" spans="1:13" ht="12" customHeight="1">
      <c r="A40" s="61" t="s">
        <v>208</v>
      </c>
      <c r="B40" s="62" t="s">
        <v>162</v>
      </c>
      <c r="C40" s="62" t="s">
        <v>288</v>
      </c>
      <c r="D40" s="62" t="s">
        <v>291</v>
      </c>
      <c r="E40" s="62" t="s">
        <v>233</v>
      </c>
      <c r="F40" s="62" t="s">
        <v>233</v>
      </c>
      <c r="G40" s="62" t="s">
        <v>233</v>
      </c>
      <c r="H40" s="62" t="s">
        <v>162</v>
      </c>
      <c r="I40" s="62" t="s">
        <v>162</v>
      </c>
      <c r="J40" s="62" t="s">
        <v>296</v>
      </c>
      <c r="K40" s="62" t="s">
        <v>290</v>
      </c>
      <c r="L40" s="62" t="s">
        <v>162</v>
      </c>
      <c r="M40" s="62" t="s">
        <v>162</v>
      </c>
    </row>
    <row r="41" spans="1:13" ht="12" customHeight="1">
      <c r="A41" s="61" t="s">
        <v>214</v>
      </c>
      <c r="B41" s="62" t="s">
        <v>162</v>
      </c>
      <c r="C41" s="62" t="s">
        <v>289</v>
      </c>
      <c r="D41" s="62" t="s">
        <v>290</v>
      </c>
      <c r="E41" s="62" t="s">
        <v>233</v>
      </c>
      <c r="F41" s="62" t="s">
        <v>234</v>
      </c>
      <c r="G41" s="62" t="s">
        <v>234</v>
      </c>
      <c r="H41" s="62" t="s">
        <v>162</v>
      </c>
      <c r="I41" s="62" t="s">
        <v>249</v>
      </c>
      <c r="J41" s="62" t="s">
        <v>290</v>
      </c>
      <c r="K41" s="62" t="s">
        <v>297</v>
      </c>
      <c r="L41" s="62" t="s">
        <v>162</v>
      </c>
      <c r="M41" s="62" t="s">
        <v>162</v>
      </c>
    </row>
    <row r="42" spans="1:13" ht="12" customHeight="1">
      <c r="A42" s="61" t="s">
        <v>215</v>
      </c>
      <c r="B42" s="62" t="s">
        <v>162</v>
      </c>
      <c r="C42" s="62" t="s">
        <v>234</v>
      </c>
      <c r="D42" s="62" t="s">
        <v>162</v>
      </c>
      <c r="E42" s="62" t="s">
        <v>234</v>
      </c>
      <c r="F42" s="62" t="s">
        <v>162</v>
      </c>
      <c r="G42" s="62" t="s">
        <v>162</v>
      </c>
      <c r="H42" s="62" t="s">
        <v>162</v>
      </c>
      <c r="I42" s="62" t="s">
        <v>162</v>
      </c>
      <c r="J42" s="62" t="s">
        <v>162</v>
      </c>
      <c r="K42" s="62" t="s">
        <v>162</v>
      </c>
      <c r="L42" s="62" t="s">
        <v>233</v>
      </c>
      <c r="M42" s="62" t="s">
        <v>162</v>
      </c>
    </row>
    <row r="43" spans="1:13" ht="12" customHeight="1">
      <c r="A43" s="61" t="s">
        <v>216</v>
      </c>
      <c r="B43" s="62" t="s">
        <v>162</v>
      </c>
      <c r="C43" s="62" t="s">
        <v>162</v>
      </c>
      <c r="D43" s="62" t="s">
        <v>162</v>
      </c>
      <c r="E43" s="62" t="s">
        <v>162</v>
      </c>
      <c r="F43" s="62" t="s">
        <v>162</v>
      </c>
      <c r="G43" s="62" t="s">
        <v>162</v>
      </c>
      <c r="H43" s="62" t="s">
        <v>162</v>
      </c>
      <c r="I43" s="62" t="s">
        <v>162</v>
      </c>
      <c r="J43" s="62" t="s">
        <v>162</v>
      </c>
      <c r="K43" s="62" t="s">
        <v>162</v>
      </c>
      <c r="L43" s="62" t="s">
        <v>162</v>
      </c>
      <c r="M43" s="62" t="s">
        <v>232</v>
      </c>
    </row>
    <row r="44" spans="1:13" ht="12" customHeight="1">
      <c r="B44" s="253" t="str">
        <f>Table_4.0_Information!$A$7</f>
        <v>4 add state in table 0</v>
      </c>
      <c r="C44" s="253"/>
      <c r="D44" s="253"/>
      <c r="E44" s="253"/>
      <c r="F44" s="253"/>
      <c r="G44" s="253"/>
      <c r="H44" s="253"/>
      <c r="I44" s="253"/>
      <c r="J44" s="253"/>
      <c r="K44" s="253"/>
      <c r="L44" s="253"/>
      <c r="M44" s="253"/>
    </row>
    <row r="45" spans="1:13" ht="57">
      <c r="A45" s="58" t="s">
        <v>199</v>
      </c>
      <c r="B45" s="59" t="s">
        <v>200</v>
      </c>
      <c r="C45" s="59" t="s">
        <v>201</v>
      </c>
      <c r="D45" s="60" t="s">
        <v>202</v>
      </c>
      <c r="E45" s="60" t="s">
        <v>203</v>
      </c>
      <c r="F45" s="59" t="s">
        <v>204</v>
      </c>
      <c r="G45" s="59" t="s">
        <v>205</v>
      </c>
      <c r="H45" s="59" t="s">
        <v>206</v>
      </c>
      <c r="I45" s="59" t="s">
        <v>207</v>
      </c>
      <c r="J45" s="59" t="s">
        <v>208</v>
      </c>
      <c r="K45" s="60" t="s">
        <v>209</v>
      </c>
      <c r="L45" s="60" t="s">
        <v>210</v>
      </c>
      <c r="M45" s="60" t="s">
        <v>211</v>
      </c>
    </row>
    <row r="46" spans="1:13" ht="15">
      <c r="A46" s="61" t="s">
        <v>200</v>
      </c>
      <c r="B46" s="83"/>
      <c r="C46" s="62"/>
      <c r="D46" s="62"/>
      <c r="E46" s="62"/>
      <c r="F46" s="62"/>
      <c r="G46" s="62"/>
      <c r="H46" s="62"/>
      <c r="I46" s="62"/>
      <c r="J46" s="62"/>
      <c r="K46" s="62"/>
      <c r="L46" s="62"/>
      <c r="M46" s="62"/>
    </row>
    <row r="47" spans="1:13" ht="15">
      <c r="A47" s="61" t="s">
        <v>201</v>
      </c>
      <c r="B47" s="62"/>
      <c r="C47" s="83"/>
      <c r="D47" s="62"/>
      <c r="E47" s="62"/>
      <c r="F47" s="62"/>
      <c r="G47" s="62"/>
      <c r="H47" s="62"/>
      <c r="I47" s="62"/>
      <c r="J47" s="62"/>
      <c r="K47" s="62"/>
      <c r="L47" s="62"/>
      <c r="M47" s="62"/>
    </row>
    <row r="48" spans="1:13" ht="32">
      <c r="A48" s="63" t="s">
        <v>212</v>
      </c>
      <c r="B48" s="62"/>
      <c r="C48" s="62"/>
      <c r="D48" s="83"/>
      <c r="E48" s="62"/>
      <c r="F48" s="62"/>
      <c r="G48" s="62"/>
      <c r="H48" s="62"/>
      <c r="I48" s="62"/>
      <c r="J48" s="62"/>
      <c r="K48" s="62"/>
      <c r="L48" s="62"/>
      <c r="M48" s="62"/>
    </row>
    <row r="49" spans="1:13" ht="15">
      <c r="A49" s="61" t="s">
        <v>213</v>
      </c>
      <c r="B49" s="62"/>
      <c r="C49" s="62"/>
      <c r="D49" s="62"/>
      <c r="E49" s="83"/>
      <c r="F49" s="62"/>
      <c r="G49" s="62"/>
      <c r="H49" s="62"/>
      <c r="I49" s="62"/>
      <c r="J49" s="62"/>
      <c r="K49" s="62"/>
      <c r="L49" s="62"/>
      <c r="M49" s="62"/>
    </row>
    <row r="50" spans="1:13" ht="15">
      <c r="A50" s="61" t="s">
        <v>204</v>
      </c>
      <c r="B50" s="62"/>
      <c r="C50" s="62"/>
      <c r="D50" s="62"/>
      <c r="E50" s="62"/>
      <c r="F50" s="83"/>
      <c r="G50" s="62"/>
      <c r="H50" s="62"/>
      <c r="I50" s="62"/>
      <c r="J50" s="62"/>
      <c r="K50" s="62"/>
      <c r="L50" s="62"/>
      <c r="M50" s="62"/>
    </row>
    <row r="51" spans="1:13" ht="15">
      <c r="A51" s="61" t="s">
        <v>205</v>
      </c>
      <c r="B51" s="62"/>
      <c r="C51" s="62"/>
      <c r="D51" s="62"/>
      <c r="E51" s="62"/>
      <c r="F51" s="62"/>
      <c r="G51" s="83"/>
      <c r="H51" s="62"/>
      <c r="I51" s="62"/>
      <c r="J51" s="62"/>
      <c r="K51" s="62"/>
      <c r="L51" s="62"/>
      <c r="M51" s="62"/>
    </row>
    <row r="52" spans="1:13" ht="15">
      <c r="A52" s="61" t="s">
        <v>206</v>
      </c>
      <c r="B52" s="62"/>
      <c r="C52" s="62"/>
      <c r="D52" s="62"/>
      <c r="E52" s="62"/>
      <c r="F52" s="62"/>
      <c r="G52" s="62"/>
      <c r="H52" s="83"/>
      <c r="I52" s="62"/>
      <c r="J52" s="62"/>
      <c r="K52" s="62"/>
      <c r="L52" s="62"/>
      <c r="M52" s="62"/>
    </row>
    <row r="53" spans="1:13" ht="15">
      <c r="A53" s="61" t="s">
        <v>207</v>
      </c>
      <c r="B53" s="62"/>
      <c r="C53" s="62"/>
      <c r="D53" s="62"/>
      <c r="E53" s="62"/>
      <c r="F53" s="62"/>
      <c r="G53" s="62"/>
      <c r="H53" s="62"/>
      <c r="I53" s="83"/>
      <c r="J53" s="62"/>
      <c r="K53" s="62"/>
      <c r="L53" s="62"/>
      <c r="M53" s="62"/>
    </row>
    <row r="54" spans="1:13" ht="15">
      <c r="A54" s="61" t="s">
        <v>208</v>
      </c>
      <c r="B54" s="62"/>
      <c r="C54" s="62"/>
      <c r="D54" s="62"/>
      <c r="E54" s="62"/>
      <c r="F54" s="62"/>
      <c r="G54" s="62"/>
      <c r="H54" s="62"/>
      <c r="I54" s="62"/>
      <c r="J54" s="83"/>
      <c r="K54" s="62"/>
      <c r="L54" s="62"/>
      <c r="M54" s="62"/>
    </row>
    <row r="55" spans="1:13" ht="15">
      <c r="A55" s="61" t="s">
        <v>214</v>
      </c>
      <c r="B55" s="62"/>
      <c r="C55" s="62"/>
      <c r="D55" s="62"/>
      <c r="E55" s="62"/>
      <c r="F55" s="62"/>
      <c r="G55" s="62"/>
      <c r="H55" s="62"/>
      <c r="I55" s="62"/>
      <c r="J55" s="62"/>
      <c r="K55" s="83"/>
      <c r="L55" s="62"/>
      <c r="M55" s="62"/>
    </row>
    <row r="56" spans="1:13" ht="15">
      <c r="A56" s="61" t="s">
        <v>215</v>
      </c>
      <c r="B56" s="62"/>
      <c r="C56" s="62"/>
      <c r="D56" s="62"/>
      <c r="E56" s="62"/>
      <c r="F56" s="62"/>
      <c r="G56" s="62"/>
      <c r="H56" s="62"/>
      <c r="I56" s="62"/>
      <c r="J56" s="62"/>
      <c r="K56" s="62"/>
      <c r="L56" s="83"/>
      <c r="M56" s="62"/>
    </row>
    <row r="57" spans="1:13" ht="15">
      <c r="A57" s="61" t="s">
        <v>216</v>
      </c>
      <c r="B57" s="62"/>
      <c r="C57" s="62"/>
      <c r="D57" s="62"/>
      <c r="E57" s="62"/>
      <c r="F57" s="62"/>
      <c r="G57" s="62"/>
      <c r="H57" s="62"/>
      <c r="I57" s="62"/>
      <c r="J57" s="62"/>
      <c r="K57" s="62"/>
      <c r="L57" s="62"/>
      <c r="M57" s="83"/>
    </row>
    <row r="58" spans="1:13" ht="12" customHeight="1">
      <c r="B58" s="253" t="str">
        <f>Table_4.0_Information!$A$8</f>
        <v>5 add state in table 0</v>
      </c>
      <c r="C58" s="253"/>
      <c r="D58" s="253"/>
      <c r="E58" s="253"/>
      <c r="F58" s="253"/>
      <c r="G58" s="253"/>
      <c r="H58" s="253"/>
      <c r="I58" s="253"/>
      <c r="J58" s="253"/>
      <c r="K58" s="253"/>
      <c r="L58" s="253"/>
      <c r="M58" s="253"/>
    </row>
    <row r="59" spans="1:13" ht="12" customHeight="1">
      <c r="A59" s="58" t="s">
        <v>199</v>
      </c>
      <c r="B59" s="59" t="s">
        <v>200</v>
      </c>
      <c r="C59" s="59" t="s">
        <v>201</v>
      </c>
      <c r="D59" s="60" t="s">
        <v>202</v>
      </c>
      <c r="E59" s="60" t="s">
        <v>203</v>
      </c>
      <c r="F59" s="59" t="s">
        <v>204</v>
      </c>
      <c r="G59" s="59" t="s">
        <v>205</v>
      </c>
      <c r="H59" s="59" t="s">
        <v>206</v>
      </c>
      <c r="I59" s="59" t="s">
        <v>207</v>
      </c>
      <c r="J59" s="59" t="s">
        <v>208</v>
      </c>
      <c r="K59" s="60" t="s">
        <v>209</v>
      </c>
      <c r="L59" s="60" t="s">
        <v>210</v>
      </c>
      <c r="M59" s="60" t="s">
        <v>211</v>
      </c>
    </row>
    <row r="60" spans="1:13" ht="12" customHeight="1">
      <c r="A60" s="61" t="s">
        <v>200</v>
      </c>
      <c r="B60" s="62"/>
      <c r="C60" s="62"/>
      <c r="D60" s="62"/>
      <c r="E60" s="62"/>
      <c r="F60" s="62"/>
      <c r="G60" s="62"/>
      <c r="H60" s="62"/>
      <c r="I60" s="62"/>
      <c r="J60" s="62"/>
      <c r="K60" s="62"/>
      <c r="L60" s="62"/>
      <c r="M60" s="62"/>
    </row>
    <row r="61" spans="1:13" ht="12" customHeight="1">
      <c r="A61" s="61" t="s">
        <v>201</v>
      </c>
      <c r="B61" s="62"/>
      <c r="C61" s="62"/>
      <c r="D61" s="62"/>
      <c r="E61" s="62"/>
      <c r="F61" s="62"/>
      <c r="G61" s="62"/>
      <c r="H61" s="62"/>
      <c r="I61" s="62"/>
      <c r="J61" s="62"/>
      <c r="K61" s="62"/>
      <c r="L61" s="62"/>
      <c r="M61" s="62"/>
    </row>
    <row r="62" spans="1:13" ht="12" customHeight="1">
      <c r="A62" s="63" t="s">
        <v>212</v>
      </c>
      <c r="B62" s="62"/>
      <c r="C62" s="62"/>
      <c r="D62" s="62"/>
      <c r="E62" s="62"/>
      <c r="F62" s="62"/>
      <c r="G62" s="62"/>
      <c r="H62" s="62"/>
      <c r="I62" s="62"/>
      <c r="J62" s="62"/>
      <c r="K62" s="62"/>
      <c r="L62" s="62"/>
      <c r="M62" s="62"/>
    </row>
    <row r="63" spans="1:13" ht="12" customHeight="1">
      <c r="A63" s="61" t="s">
        <v>213</v>
      </c>
      <c r="B63" s="62"/>
      <c r="C63" s="62"/>
      <c r="D63" s="62"/>
      <c r="E63" s="62"/>
      <c r="F63" s="62"/>
      <c r="G63" s="62"/>
      <c r="H63" s="62"/>
      <c r="I63" s="62"/>
      <c r="J63" s="62"/>
      <c r="K63" s="62"/>
      <c r="L63" s="62"/>
      <c r="M63" s="62"/>
    </row>
    <row r="64" spans="1:13" ht="12" customHeight="1">
      <c r="A64" s="61" t="s">
        <v>204</v>
      </c>
      <c r="B64" s="62"/>
      <c r="C64" s="62"/>
      <c r="D64" s="62"/>
      <c r="E64" s="62"/>
      <c r="F64" s="62"/>
      <c r="G64" s="62"/>
      <c r="H64" s="62"/>
      <c r="I64" s="62"/>
      <c r="J64" s="62"/>
      <c r="K64" s="62"/>
      <c r="L64" s="62"/>
      <c r="M64" s="62"/>
    </row>
    <row r="65" spans="1:13" ht="12" customHeight="1">
      <c r="A65" s="61" t="s">
        <v>205</v>
      </c>
      <c r="B65" s="62"/>
      <c r="C65" s="62"/>
      <c r="D65" s="62"/>
      <c r="E65" s="62"/>
      <c r="F65" s="62"/>
      <c r="G65" s="62"/>
      <c r="H65" s="62"/>
      <c r="I65" s="62"/>
      <c r="J65" s="62"/>
      <c r="K65" s="62"/>
      <c r="L65" s="62"/>
      <c r="M65" s="62"/>
    </row>
    <row r="66" spans="1:13" ht="12" customHeight="1">
      <c r="A66" s="61" t="s">
        <v>206</v>
      </c>
      <c r="B66" s="62"/>
      <c r="C66" s="62"/>
      <c r="D66" s="62"/>
      <c r="E66" s="62"/>
      <c r="F66" s="62"/>
      <c r="G66" s="62"/>
      <c r="H66" s="62"/>
      <c r="I66" s="62"/>
      <c r="J66" s="62"/>
      <c r="K66" s="62"/>
      <c r="L66" s="62"/>
      <c r="M66" s="62"/>
    </row>
    <row r="67" spans="1:13" ht="12" customHeight="1">
      <c r="A67" s="61" t="s">
        <v>207</v>
      </c>
      <c r="B67" s="62"/>
      <c r="C67" s="62"/>
      <c r="D67" s="62"/>
      <c r="E67" s="62"/>
      <c r="F67" s="62"/>
      <c r="G67" s="62"/>
      <c r="H67" s="62"/>
      <c r="I67" s="62"/>
      <c r="J67" s="62"/>
      <c r="K67" s="62"/>
      <c r="L67" s="62"/>
      <c r="M67" s="62"/>
    </row>
    <row r="68" spans="1:13" ht="12" customHeight="1">
      <c r="A68" s="61" t="s">
        <v>208</v>
      </c>
      <c r="B68" s="62"/>
      <c r="C68" s="62"/>
      <c r="D68" s="62"/>
      <c r="E68" s="62"/>
      <c r="F68" s="62"/>
      <c r="G68" s="62"/>
      <c r="H68" s="62"/>
      <c r="I68" s="62"/>
      <c r="J68" s="62"/>
      <c r="K68" s="62"/>
      <c r="L68" s="62"/>
      <c r="M68" s="62"/>
    </row>
    <row r="69" spans="1:13" ht="12" customHeight="1">
      <c r="A69" s="61" t="s">
        <v>214</v>
      </c>
      <c r="B69" s="62"/>
      <c r="C69" s="62"/>
      <c r="D69" s="62"/>
      <c r="E69" s="62"/>
      <c r="F69" s="62"/>
      <c r="G69" s="62"/>
      <c r="H69" s="62"/>
      <c r="I69" s="62"/>
      <c r="J69" s="62"/>
      <c r="K69" s="62"/>
      <c r="L69" s="62"/>
      <c r="M69" s="62"/>
    </row>
    <row r="70" spans="1:13" ht="12" customHeight="1">
      <c r="A70" s="61" t="s">
        <v>215</v>
      </c>
      <c r="B70" s="62"/>
      <c r="C70" s="62"/>
      <c r="D70" s="62"/>
      <c r="E70" s="62"/>
      <c r="F70" s="62"/>
      <c r="G70" s="62"/>
      <c r="H70" s="62"/>
      <c r="I70" s="62"/>
      <c r="J70" s="62"/>
      <c r="K70" s="62"/>
      <c r="L70" s="62"/>
      <c r="M70" s="62"/>
    </row>
    <row r="71" spans="1:13" ht="12" customHeight="1">
      <c r="A71" s="61" t="s">
        <v>216</v>
      </c>
      <c r="B71" s="62"/>
      <c r="C71" s="62"/>
      <c r="D71" s="62"/>
      <c r="E71" s="62"/>
      <c r="F71" s="62"/>
      <c r="G71" s="62"/>
      <c r="H71" s="62"/>
      <c r="I71" s="62"/>
      <c r="J71" s="62"/>
      <c r="K71" s="62"/>
      <c r="L71" s="62"/>
      <c r="M71" s="62"/>
    </row>
    <row r="72" spans="1:13" ht="12" customHeight="1">
      <c r="B72" s="253" t="str">
        <f>Table_4.0_Information!$A$9</f>
        <v>6 add state in table 0</v>
      </c>
      <c r="C72" s="253"/>
      <c r="D72" s="253"/>
      <c r="E72" s="253"/>
      <c r="F72" s="253"/>
      <c r="G72" s="253"/>
      <c r="H72" s="253"/>
      <c r="I72" s="253"/>
      <c r="J72" s="253"/>
      <c r="K72" s="253"/>
      <c r="L72" s="253"/>
      <c r="M72" s="253"/>
    </row>
    <row r="73" spans="1:13" ht="12" customHeight="1">
      <c r="A73" s="58" t="s">
        <v>199</v>
      </c>
      <c r="B73" s="59" t="s">
        <v>200</v>
      </c>
      <c r="C73" s="59" t="s">
        <v>201</v>
      </c>
      <c r="D73" s="60" t="s">
        <v>202</v>
      </c>
      <c r="E73" s="60" t="s">
        <v>203</v>
      </c>
      <c r="F73" s="59" t="s">
        <v>204</v>
      </c>
      <c r="G73" s="59" t="s">
        <v>205</v>
      </c>
      <c r="H73" s="59" t="s">
        <v>206</v>
      </c>
      <c r="I73" s="59" t="s">
        <v>207</v>
      </c>
      <c r="J73" s="59" t="s">
        <v>208</v>
      </c>
      <c r="K73" s="60" t="s">
        <v>209</v>
      </c>
      <c r="L73" s="60" t="s">
        <v>210</v>
      </c>
      <c r="M73" s="60" t="s">
        <v>211</v>
      </c>
    </row>
    <row r="74" spans="1:13" ht="12" customHeight="1">
      <c r="A74" s="61" t="s">
        <v>200</v>
      </c>
      <c r="B74" s="62"/>
      <c r="C74" s="62"/>
      <c r="D74" s="62"/>
      <c r="E74" s="62"/>
      <c r="F74" s="62"/>
      <c r="G74" s="62"/>
      <c r="H74" s="62"/>
      <c r="I74" s="62"/>
      <c r="J74" s="62"/>
      <c r="K74" s="62"/>
      <c r="L74" s="62"/>
      <c r="M74" s="62"/>
    </row>
    <row r="75" spans="1:13" ht="12" customHeight="1">
      <c r="A75" s="61" t="s">
        <v>201</v>
      </c>
      <c r="B75" s="62"/>
      <c r="C75" s="62"/>
      <c r="D75" s="62"/>
      <c r="E75" s="62"/>
      <c r="F75" s="62"/>
      <c r="G75" s="62"/>
      <c r="H75" s="62"/>
      <c r="I75" s="62"/>
      <c r="J75" s="62"/>
      <c r="K75" s="62"/>
      <c r="L75" s="62"/>
      <c r="M75" s="62"/>
    </row>
    <row r="76" spans="1:13" ht="12" customHeight="1">
      <c r="A76" s="63" t="s">
        <v>212</v>
      </c>
      <c r="B76" s="62"/>
      <c r="C76" s="62"/>
      <c r="D76" s="62"/>
      <c r="E76" s="62"/>
      <c r="F76" s="62"/>
      <c r="G76" s="62"/>
      <c r="H76" s="62"/>
      <c r="I76" s="62"/>
      <c r="J76" s="62"/>
      <c r="K76" s="62"/>
      <c r="L76" s="62"/>
      <c r="M76" s="62"/>
    </row>
    <row r="77" spans="1:13" ht="12" customHeight="1">
      <c r="A77" s="61" t="s">
        <v>213</v>
      </c>
      <c r="B77" s="62"/>
      <c r="C77" s="62"/>
      <c r="D77" s="62"/>
      <c r="E77" s="62"/>
      <c r="F77" s="62"/>
      <c r="G77" s="62"/>
      <c r="H77" s="62"/>
      <c r="I77" s="62"/>
      <c r="J77" s="62"/>
      <c r="K77" s="62"/>
      <c r="L77" s="62"/>
      <c r="M77" s="62"/>
    </row>
    <row r="78" spans="1:13" ht="12" customHeight="1">
      <c r="A78" s="61" t="s">
        <v>204</v>
      </c>
      <c r="B78" s="62"/>
      <c r="C78" s="62"/>
      <c r="D78" s="62"/>
      <c r="E78" s="62"/>
      <c r="F78" s="62"/>
      <c r="G78" s="62"/>
      <c r="H78" s="62"/>
      <c r="I78" s="62"/>
      <c r="J78" s="62"/>
      <c r="K78" s="62"/>
      <c r="L78" s="62"/>
      <c r="M78" s="62"/>
    </row>
    <row r="79" spans="1:13" ht="12" customHeight="1">
      <c r="A79" s="61" t="s">
        <v>205</v>
      </c>
      <c r="B79" s="62"/>
      <c r="C79" s="62"/>
      <c r="D79" s="62"/>
      <c r="E79" s="62"/>
      <c r="F79" s="62"/>
      <c r="G79" s="62"/>
      <c r="H79" s="62"/>
      <c r="I79" s="62"/>
      <c r="J79" s="62"/>
      <c r="K79" s="62"/>
      <c r="L79" s="62"/>
      <c r="M79" s="62"/>
    </row>
    <row r="80" spans="1:13" ht="12" customHeight="1">
      <c r="A80" s="61" t="s">
        <v>206</v>
      </c>
      <c r="B80" s="62"/>
      <c r="C80" s="62"/>
      <c r="D80" s="62"/>
      <c r="E80" s="62"/>
      <c r="F80" s="62"/>
      <c r="G80" s="62"/>
      <c r="H80" s="62"/>
      <c r="I80" s="62"/>
      <c r="J80" s="62"/>
      <c r="K80" s="62"/>
      <c r="L80" s="62"/>
      <c r="M80" s="62"/>
    </row>
    <row r="81" spans="1:13" ht="12" customHeight="1">
      <c r="A81" s="61" t="s">
        <v>207</v>
      </c>
      <c r="B81" s="62"/>
      <c r="C81" s="62"/>
      <c r="D81" s="62"/>
      <c r="E81" s="62"/>
      <c r="F81" s="62"/>
      <c r="G81" s="62"/>
      <c r="H81" s="62"/>
      <c r="I81" s="62"/>
      <c r="J81" s="62"/>
      <c r="K81" s="62"/>
      <c r="L81" s="62"/>
      <c r="M81" s="62"/>
    </row>
    <row r="82" spans="1:13" ht="12" customHeight="1">
      <c r="A82" s="61" t="s">
        <v>208</v>
      </c>
      <c r="B82" s="62"/>
      <c r="C82" s="62"/>
      <c r="D82" s="62"/>
      <c r="E82" s="62"/>
      <c r="F82" s="62"/>
      <c r="G82" s="62"/>
      <c r="H82" s="62"/>
      <c r="I82" s="62"/>
      <c r="J82" s="62"/>
      <c r="K82" s="62"/>
      <c r="L82" s="62"/>
      <c r="M82" s="62"/>
    </row>
    <row r="83" spans="1:13" ht="12" customHeight="1">
      <c r="A83" s="61" t="s">
        <v>214</v>
      </c>
      <c r="B83" s="62"/>
      <c r="C83" s="62"/>
      <c r="D83" s="62"/>
      <c r="E83" s="62"/>
      <c r="F83" s="62"/>
      <c r="G83" s="62"/>
      <c r="H83" s="62"/>
      <c r="I83" s="62"/>
      <c r="J83" s="62"/>
      <c r="K83" s="62"/>
      <c r="L83" s="62"/>
      <c r="M83" s="62"/>
    </row>
    <row r="84" spans="1:13" ht="12" customHeight="1">
      <c r="A84" s="61" t="s">
        <v>215</v>
      </c>
      <c r="B84" s="62"/>
      <c r="C84" s="62"/>
      <c r="D84" s="62"/>
      <c r="E84" s="62"/>
      <c r="F84" s="62"/>
      <c r="G84" s="62"/>
      <c r="H84" s="62"/>
      <c r="I84" s="62"/>
      <c r="J84" s="62"/>
      <c r="K84" s="62"/>
      <c r="L84" s="62"/>
      <c r="M84" s="62"/>
    </row>
    <row r="85" spans="1:13" ht="12" customHeight="1">
      <c r="A85" s="61" t="s">
        <v>216</v>
      </c>
      <c r="B85" s="62"/>
      <c r="C85" s="62"/>
      <c r="D85" s="62"/>
      <c r="E85" s="62"/>
      <c r="F85" s="62"/>
      <c r="G85" s="62"/>
      <c r="H85" s="62"/>
      <c r="I85" s="62"/>
      <c r="J85" s="62"/>
      <c r="K85" s="62"/>
      <c r="L85" s="62"/>
      <c r="M85" s="62"/>
    </row>
    <row r="86" spans="1:13" ht="12" customHeight="1">
      <c r="B86" s="253" t="str">
        <f>Table_4.0_Information!$A$10</f>
        <v>7 add state in table 0</v>
      </c>
      <c r="C86" s="253"/>
      <c r="D86" s="253"/>
      <c r="E86" s="253"/>
      <c r="F86" s="253"/>
      <c r="G86" s="253"/>
      <c r="H86" s="253"/>
      <c r="I86" s="253"/>
      <c r="J86" s="253"/>
      <c r="K86" s="253"/>
      <c r="L86" s="253"/>
      <c r="M86" s="253"/>
    </row>
    <row r="87" spans="1:13" ht="12" customHeight="1">
      <c r="A87" s="58" t="s">
        <v>199</v>
      </c>
      <c r="B87" s="59" t="s">
        <v>200</v>
      </c>
      <c r="C87" s="59" t="s">
        <v>201</v>
      </c>
      <c r="D87" s="60" t="s">
        <v>202</v>
      </c>
      <c r="E87" s="60" t="s">
        <v>203</v>
      </c>
      <c r="F87" s="59" t="s">
        <v>204</v>
      </c>
      <c r="G87" s="59" t="s">
        <v>205</v>
      </c>
      <c r="H87" s="59" t="s">
        <v>206</v>
      </c>
      <c r="I87" s="59" t="s">
        <v>207</v>
      </c>
      <c r="J87" s="59" t="s">
        <v>208</v>
      </c>
      <c r="K87" s="60" t="s">
        <v>209</v>
      </c>
      <c r="L87" s="60" t="s">
        <v>210</v>
      </c>
      <c r="M87" s="60" t="s">
        <v>211</v>
      </c>
    </row>
    <row r="88" spans="1:13" ht="12" customHeight="1">
      <c r="A88" s="61" t="s">
        <v>200</v>
      </c>
      <c r="B88" s="62"/>
      <c r="C88" s="62"/>
      <c r="D88" s="62"/>
      <c r="E88" s="62"/>
      <c r="F88" s="62"/>
      <c r="G88" s="62"/>
      <c r="H88" s="62"/>
      <c r="I88" s="62"/>
      <c r="J88" s="62"/>
      <c r="K88" s="62"/>
      <c r="L88" s="62"/>
      <c r="M88" s="62"/>
    </row>
    <row r="89" spans="1:13" ht="12" customHeight="1">
      <c r="A89" s="61" t="s">
        <v>201</v>
      </c>
      <c r="B89" s="62"/>
      <c r="C89" s="62"/>
      <c r="D89" s="62"/>
      <c r="E89" s="62"/>
      <c r="F89" s="62"/>
      <c r="G89" s="62"/>
      <c r="H89" s="62"/>
      <c r="I89" s="62"/>
      <c r="J89" s="62"/>
      <c r="K89" s="62"/>
      <c r="L89" s="62"/>
      <c r="M89" s="62"/>
    </row>
    <row r="90" spans="1:13" ht="12" customHeight="1">
      <c r="A90" s="63" t="s">
        <v>212</v>
      </c>
      <c r="B90" s="62"/>
      <c r="C90" s="62"/>
      <c r="D90" s="62"/>
      <c r="E90" s="62"/>
      <c r="F90" s="62"/>
      <c r="G90" s="62"/>
      <c r="H90" s="62"/>
      <c r="I90" s="62"/>
      <c r="J90" s="62"/>
      <c r="K90" s="62"/>
      <c r="L90" s="62"/>
      <c r="M90" s="62"/>
    </row>
    <row r="91" spans="1:13" ht="12" customHeight="1">
      <c r="A91" s="61" t="s">
        <v>213</v>
      </c>
      <c r="B91" s="62"/>
      <c r="C91" s="62"/>
      <c r="D91" s="62"/>
      <c r="E91" s="62"/>
      <c r="F91" s="62"/>
      <c r="G91" s="62"/>
      <c r="H91" s="62"/>
      <c r="I91" s="62"/>
      <c r="J91" s="62"/>
      <c r="K91" s="62"/>
      <c r="L91" s="62"/>
      <c r="M91" s="62"/>
    </row>
    <row r="92" spans="1:13" ht="12" customHeight="1">
      <c r="A92" s="61" t="s">
        <v>204</v>
      </c>
      <c r="B92" s="62"/>
      <c r="C92" s="62"/>
      <c r="D92" s="62"/>
      <c r="E92" s="62"/>
      <c r="F92" s="62"/>
      <c r="G92" s="62"/>
      <c r="H92" s="62"/>
      <c r="I92" s="62"/>
      <c r="J92" s="62"/>
      <c r="K92" s="62"/>
      <c r="L92" s="62"/>
      <c r="M92" s="62"/>
    </row>
    <row r="93" spans="1:13" ht="12" customHeight="1">
      <c r="A93" s="61" t="s">
        <v>205</v>
      </c>
      <c r="B93" s="62"/>
      <c r="C93" s="62"/>
      <c r="D93" s="62"/>
      <c r="E93" s="62"/>
      <c r="F93" s="62"/>
      <c r="G93" s="62"/>
      <c r="H93" s="62"/>
      <c r="I93" s="62"/>
      <c r="J93" s="62"/>
      <c r="K93" s="62"/>
      <c r="L93" s="62"/>
      <c r="M93" s="62"/>
    </row>
    <row r="94" spans="1:13" ht="12" customHeight="1">
      <c r="A94" s="61" t="s">
        <v>206</v>
      </c>
      <c r="B94" s="62"/>
      <c r="C94" s="62"/>
      <c r="D94" s="62"/>
      <c r="E94" s="62"/>
      <c r="F94" s="62"/>
      <c r="G94" s="62"/>
      <c r="H94" s="62"/>
      <c r="I94" s="62"/>
      <c r="J94" s="62"/>
      <c r="K94" s="62"/>
      <c r="L94" s="62"/>
      <c r="M94" s="62"/>
    </row>
    <row r="95" spans="1:13" ht="12" customHeight="1">
      <c r="A95" s="61" t="s">
        <v>207</v>
      </c>
      <c r="B95" s="62"/>
      <c r="C95" s="62"/>
      <c r="D95" s="62"/>
      <c r="E95" s="62"/>
      <c r="F95" s="62"/>
      <c r="G95" s="62"/>
      <c r="H95" s="62"/>
      <c r="I95" s="62"/>
      <c r="J95" s="62"/>
      <c r="K95" s="62"/>
      <c r="L95" s="62"/>
      <c r="M95" s="62"/>
    </row>
    <row r="96" spans="1:13" ht="12" customHeight="1">
      <c r="A96" s="61" t="s">
        <v>208</v>
      </c>
      <c r="B96" s="62"/>
      <c r="C96" s="62"/>
      <c r="D96" s="62"/>
      <c r="E96" s="62"/>
      <c r="F96" s="62"/>
      <c r="G96" s="62"/>
      <c r="H96" s="62"/>
      <c r="I96" s="62"/>
      <c r="J96" s="62"/>
      <c r="K96" s="62"/>
      <c r="L96" s="62"/>
      <c r="M96" s="62"/>
    </row>
    <row r="97" spans="1:13" ht="12" customHeight="1">
      <c r="A97" s="61" t="s">
        <v>214</v>
      </c>
      <c r="B97" s="62"/>
      <c r="C97" s="62"/>
      <c r="D97" s="62"/>
      <c r="E97" s="62"/>
      <c r="F97" s="62"/>
      <c r="G97" s="62"/>
      <c r="H97" s="62"/>
      <c r="I97" s="62"/>
      <c r="J97" s="62"/>
      <c r="K97" s="62"/>
      <c r="L97" s="62"/>
      <c r="M97" s="62"/>
    </row>
    <row r="98" spans="1:13" ht="12" customHeight="1">
      <c r="A98" s="61" t="s">
        <v>215</v>
      </c>
      <c r="B98" s="62"/>
      <c r="C98" s="62"/>
      <c r="D98" s="62"/>
      <c r="E98" s="62"/>
      <c r="F98" s="62"/>
      <c r="G98" s="62"/>
      <c r="H98" s="62"/>
      <c r="I98" s="62"/>
      <c r="J98" s="62"/>
      <c r="K98" s="62"/>
      <c r="L98" s="62"/>
      <c r="M98" s="62"/>
    </row>
    <row r="99" spans="1:13" ht="12" customHeight="1">
      <c r="A99" s="61" t="s">
        <v>216</v>
      </c>
      <c r="B99" s="62"/>
      <c r="C99" s="62"/>
      <c r="D99" s="62"/>
      <c r="E99" s="62"/>
      <c r="F99" s="62"/>
      <c r="G99" s="62"/>
      <c r="H99" s="62"/>
      <c r="I99" s="62"/>
      <c r="J99" s="62"/>
      <c r="K99" s="62"/>
      <c r="L99" s="62"/>
      <c r="M99" s="62"/>
    </row>
    <row r="100" spans="1:13" ht="12" customHeight="1">
      <c r="B100" s="253" t="str">
        <f>Table_4.0_Information!$A$11</f>
        <v>8 add state in table 0</v>
      </c>
      <c r="C100" s="253"/>
      <c r="D100" s="253"/>
      <c r="E100" s="253"/>
      <c r="F100" s="253"/>
      <c r="G100" s="253"/>
      <c r="H100" s="253"/>
      <c r="I100" s="253"/>
      <c r="J100" s="253"/>
      <c r="K100" s="253"/>
      <c r="L100" s="253"/>
      <c r="M100" s="253"/>
    </row>
    <row r="101" spans="1:13" ht="12" customHeight="1">
      <c r="A101" s="58" t="s">
        <v>199</v>
      </c>
      <c r="B101" s="59" t="s">
        <v>200</v>
      </c>
      <c r="C101" s="59" t="s">
        <v>201</v>
      </c>
      <c r="D101" s="60" t="s">
        <v>202</v>
      </c>
      <c r="E101" s="60" t="s">
        <v>203</v>
      </c>
      <c r="F101" s="59" t="s">
        <v>204</v>
      </c>
      <c r="G101" s="59" t="s">
        <v>205</v>
      </c>
      <c r="H101" s="59" t="s">
        <v>206</v>
      </c>
      <c r="I101" s="59" t="s">
        <v>207</v>
      </c>
      <c r="J101" s="59" t="s">
        <v>208</v>
      </c>
      <c r="K101" s="60" t="s">
        <v>209</v>
      </c>
      <c r="L101" s="60" t="s">
        <v>210</v>
      </c>
      <c r="M101" s="60" t="s">
        <v>211</v>
      </c>
    </row>
    <row r="102" spans="1:13" ht="12" customHeight="1">
      <c r="A102" s="61" t="s">
        <v>200</v>
      </c>
      <c r="B102" s="62"/>
      <c r="C102" s="62"/>
      <c r="D102" s="62"/>
      <c r="E102" s="62"/>
      <c r="F102" s="62"/>
      <c r="G102" s="62"/>
      <c r="H102" s="62"/>
      <c r="I102" s="62"/>
      <c r="J102" s="62"/>
      <c r="K102" s="62"/>
      <c r="L102" s="62"/>
      <c r="M102" s="62"/>
    </row>
    <row r="103" spans="1:13" ht="12" customHeight="1">
      <c r="A103" s="61" t="s">
        <v>201</v>
      </c>
      <c r="B103" s="62"/>
      <c r="C103" s="62"/>
      <c r="D103" s="62"/>
      <c r="E103" s="62"/>
      <c r="F103" s="62"/>
      <c r="G103" s="62"/>
      <c r="H103" s="62"/>
      <c r="I103" s="62"/>
      <c r="J103" s="62"/>
      <c r="K103" s="62"/>
      <c r="L103" s="62"/>
      <c r="M103" s="62"/>
    </row>
    <row r="104" spans="1:13" ht="12" customHeight="1">
      <c r="A104" s="63" t="s">
        <v>212</v>
      </c>
      <c r="B104" s="62"/>
      <c r="C104" s="62"/>
      <c r="D104" s="62"/>
      <c r="E104" s="62"/>
      <c r="F104" s="62"/>
      <c r="G104" s="62"/>
      <c r="H104" s="62"/>
      <c r="I104" s="62"/>
      <c r="J104" s="62"/>
      <c r="K104" s="62"/>
      <c r="L104" s="62"/>
      <c r="M104" s="62"/>
    </row>
    <row r="105" spans="1:13" ht="12" customHeight="1">
      <c r="A105" s="61" t="s">
        <v>213</v>
      </c>
      <c r="B105" s="62"/>
      <c r="C105" s="62"/>
      <c r="D105" s="62"/>
      <c r="E105" s="62"/>
      <c r="F105" s="62"/>
      <c r="G105" s="62"/>
      <c r="H105" s="62"/>
      <c r="I105" s="62"/>
      <c r="J105" s="62"/>
      <c r="K105" s="62"/>
      <c r="L105" s="62"/>
      <c r="M105" s="62"/>
    </row>
    <row r="106" spans="1:13" ht="12" customHeight="1">
      <c r="A106" s="61" t="s">
        <v>204</v>
      </c>
      <c r="B106" s="62"/>
      <c r="C106" s="62"/>
      <c r="D106" s="62"/>
      <c r="E106" s="62"/>
      <c r="F106" s="62"/>
      <c r="G106" s="62"/>
      <c r="H106" s="62"/>
      <c r="I106" s="62"/>
      <c r="J106" s="62"/>
      <c r="K106" s="62"/>
      <c r="L106" s="62"/>
      <c r="M106" s="62"/>
    </row>
    <row r="107" spans="1:13" ht="12" customHeight="1">
      <c r="A107" s="61" t="s">
        <v>205</v>
      </c>
      <c r="B107" s="62"/>
      <c r="C107" s="62"/>
      <c r="D107" s="62"/>
      <c r="E107" s="62"/>
      <c r="F107" s="62"/>
      <c r="G107" s="62"/>
      <c r="H107" s="62"/>
      <c r="I107" s="62"/>
      <c r="J107" s="62"/>
      <c r="K107" s="62"/>
      <c r="L107" s="62"/>
      <c r="M107" s="62"/>
    </row>
    <row r="108" spans="1:13" ht="12" customHeight="1">
      <c r="A108" s="61" t="s">
        <v>206</v>
      </c>
      <c r="B108" s="62"/>
      <c r="C108" s="62"/>
      <c r="D108" s="62"/>
      <c r="E108" s="62"/>
      <c r="F108" s="62"/>
      <c r="G108" s="62"/>
      <c r="H108" s="62"/>
      <c r="I108" s="62"/>
      <c r="J108" s="62"/>
      <c r="K108" s="62"/>
      <c r="L108" s="62"/>
      <c r="M108" s="62"/>
    </row>
    <row r="109" spans="1:13" ht="12" customHeight="1">
      <c r="A109" s="61" t="s">
        <v>207</v>
      </c>
      <c r="B109" s="62"/>
      <c r="C109" s="62"/>
      <c r="D109" s="62"/>
      <c r="E109" s="62"/>
      <c r="F109" s="62"/>
      <c r="G109" s="62"/>
      <c r="H109" s="62"/>
      <c r="I109" s="62"/>
      <c r="J109" s="62"/>
      <c r="K109" s="62"/>
      <c r="L109" s="62"/>
      <c r="M109" s="62"/>
    </row>
    <row r="110" spans="1:13" ht="12" customHeight="1">
      <c r="A110" s="61" t="s">
        <v>208</v>
      </c>
      <c r="B110" s="62"/>
      <c r="C110" s="62"/>
      <c r="D110" s="62"/>
      <c r="E110" s="62"/>
      <c r="F110" s="62"/>
      <c r="G110" s="62"/>
      <c r="H110" s="62"/>
      <c r="I110" s="62"/>
      <c r="J110" s="62"/>
      <c r="K110" s="62"/>
      <c r="L110" s="62"/>
      <c r="M110" s="62"/>
    </row>
    <row r="111" spans="1:13" ht="12" customHeight="1">
      <c r="A111" s="61" t="s">
        <v>214</v>
      </c>
      <c r="B111" s="62"/>
      <c r="C111" s="62"/>
      <c r="D111" s="62"/>
      <c r="E111" s="62"/>
      <c r="F111" s="62"/>
      <c r="G111" s="62"/>
      <c r="H111" s="62"/>
      <c r="I111" s="62"/>
      <c r="J111" s="62"/>
      <c r="K111" s="62"/>
      <c r="L111" s="62"/>
      <c r="M111" s="62"/>
    </row>
    <row r="112" spans="1:13" ht="12" customHeight="1">
      <c r="A112" s="61" t="s">
        <v>215</v>
      </c>
      <c r="B112" s="62"/>
      <c r="C112" s="62"/>
      <c r="D112" s="62"/>
      <c r="E112" s="62"/>
      <c r="F112" s="62"/>
      <c r="G112" s="62"/>
      <c r="H112" s="62"/>
      <c r="I112" s="62"/>
      <c r="J112" s="62"/>
      <c r="K112" s="62"/>
      <c r="L112" s="62"/>
      <c r="M112" s="62"/>
    </row>
    <row r="113" spans="1:13" ht="12" customHeight="1">
      <c r="A113" s="61" t="s">
        <v>216</v>
      </c>
      <c r="B113" s="62"/>
      <c r="C113" s="62"/>
      <c r="D113" s="62"/>
      <c r="E113" s="62"/>
      <c r="F113" s="62"/>
      <c r="G113" s="62"/>
      <c r="H113" s="62"/>
      <c r="I113" s="62"/>
      <c r="J113" s="62"/>
      <c r="K113" s="62"/>
      <c r="L113" s="62"/>
      <c r="M113" s="62"/>
    </row>
    <row r="114" spans="1:13" ht="12" customHeight="1">
      <c r="B114" s="253" t="str">
        <f>Table_4.0_Information!$A$12</f>
        <v>9 add state in table 0</v>
      </c>
      <c r="C114" s="253"/>
      <c r="D114" s="253"/>
      <c r="E114" s="253"/>
      <c r="F114" s="253"/>
      <c r="G114" s="253"/>
      <c r="H114" s="253"/>
      <c r="I114" s="253"/>
      <c r="J114" s="253"/>
      <c r="K114" s="253"/>
      <c r="L114" s="253"/>
      <c r="M114" s="253"/>
    </row>
    <row r="115" spans="1:13" ht="12" customHeight="1">
      <c r="A115" s="58" t="s">
        <v>199</v>
      </c>
      <c r="B115" s="59" t="s">
        <v>200</v>
      </c>
      <c r="C115" s="59" t="s">
        <v>201</v>
      </c>
      <c r="D115" s="60" t="s">
        <v>202</v>
      </c>
      <c r="E115" s="60" t="s">
        <v>203</v>
      </c>
      <c r="F115" s="59" t="s">
        <v>204</v>
      </c>
      <c r="G115" s="59" t="s">
        <v>205</v>
      </c>
      <c r="H115" s="59" t="s">
        <v>206</v>
      </c>
      <c r="I115" s="59" t="s">
        <v>207</v>
      </c>
      <c r="J115" s="59" t="s">
        <v>208</v>
      </c>
      <c r="K115" s="60" t="s">
        <v>209</v>
      </c>
      <c r="L115" s="60" t="s">
        <v>210</v>
      </c>
      <c r="M115" s="60" t="s">
        <v>211</v>
      </c>
    </row>
    <row r="116" spans="1:13" ht="12" customHeight="1">
      <c r="A116" s="61" t="s">
        <v>200</v>
      </c>
      <c r="B116" s="62"/>
      <c r="C116" s="62"/>
      <c r="D116" s="62"/>
      <c r="E116" s="62"/>
      <c r="F116" s="62"/>
      <c r="G116" s="62"/>
      <c r="H116" s="62"/>
      <c r="I116" s="62"/>
      <c r="J116" s="62"/>
      <c r="K116" s="62"/>
      <c r="L116" s="62"/>
      <c r="M116" s="62"/>
    </row>
    <row r="117" spans="1:13" ht="12" customHeight="1">
      <c r="A117" s="61" t="s">
        <v>201</v>
      </c>
      <c r="B117" s="62"/>
      <c r="C117" s="62"/>
      <c r="D117" s="62"/>
      <c r="E117" s="62"/>
      <c r="F117" s="62"/>
      <c r="G117" s="62"/>
      <c r="H117" s="62"/>
      <c r="I117" s="62"/>
      <c r="J117" s="62"/>
      <c r="K117" s="62"/>
      <c r="L117" s="62"/>
      <c r="M117" s="62"/>
    </row>
    <row r="118" spans="1:13" ht="12" customHeight="1">
      <c r="A118" s="63" t="s">
        <v>212</v>
      </c>
      <c r="B118" s="62"/>
      <c r="C118" s="62"/>
      <c r="D118" s="62"/>
      <c r="E118" s="62"/>
      <c r="F118" s="62"/>
      <c r="G118" s="62"/>
      <c r="H118" s="62"/>
      <c r="I118" s="62"/>
      <c r="J118" s="62"/>
      <c r="K118" s="62"/>
      <c r="L118" s="62"/>
      <c r="M118" s="62"/>
    </row>
    <row r="119" spans="1:13" ht="12" customHeight="1">
      <c r="A119" s="61" t="s">
        <v>213</v>
      </c>
      <c r="B119" s="62"/>
      <c r="C119" s="62"/>
      <c r="D119" s="62"/>
      <c r="E119" s="62"/>
      <c r="F119" s="62"/>
      <c r="G119" s="62"/>
      <c r="H119" s="62"/>
      <c r="I119" s="62"/>
      <c r="J119" s="62"/>
      <c r="K119" s="62"/>
      <c r="L119" s="62"/>
      <c r="M119" s="62"/>
    </row>
    <row r="120" spans="1:13" ht="12" customHeight="1">
      <c r="A120" s="61" t="s">
        <v>204</v>
      </c>
      <c r="B120" s="62"/>
      <c r="C120" s="62"/>
      <c r="D120" s="62"/>
      <c r="E120" s="62"/>
      <c r="F120" s="62"/>
      <c r="G120" s="62"/>
      <c r="H120" s="62"/>
      <c r="I120" s="62"/>
      <c r="J120" s="62"/>
      <c r="K120" s="62"/>
      <c r="L120" s="62"/>
      <c r="M120" s="62"/>
    </row>
    <row r="121" spans="1:13" ht="12" customHeight="1">
      <c r="A121" s="61" t="s">
        <v>205</v>
      </c>
      <c r="B121" s="62"/>
      <c r="C121" s="62"/>
      <c r="D121" s="62"/>
      <c r="E121" s="62"/>
      <c r="F121" s="62"/>
      <c r="G121" s="62"/>
      <c r="H121" s="62"/>
      <c r="I121" s="62"/>
      <c r="J121" s="62"/>
      <c r="K121" s="62"/>
      <c r="L121" s="62"/>
      <c r="M121" s="62"/>
    </row>
    <row r="122" spans="1:13" ht="12" customHeight="1">
      <c r="A122" s="61" t="s">
        <v>206</v>
      </c>
      <c r="B122" s="62"/>
      <c r="C122" s="62"/>
      <c r="D122" s="62"/>
      <c r="E122" s="62"/>
      <c r="F122" s="62"/>
      <c r="G122" s="62"/>
      <c r="H122" s="62"/>
      <c r="I122" s="62"/>
      <c r="J122" s="62"/>
      <c r="K122" s="62"/>
      <c r="L122" s="62"/>
      <c r="M122" s="62"/>
    </row>
    <row r="123" spans="1:13" ht="12" customHeight="1">
      <c r="A123" s="61" t="s">
        <v>207</v>
      </c>
      <c r="B123" s="62"/>
      <c r="C123" s="62"/>
      <c r="D123" s="62"/>
      <c r="E123" s="62"/>
      <c r="F123" s="62"/>
      <c r="G123" s="62"/>
      <c r="H123" s="62"/>
      <c r="I123" s="62"/>
      <c r="J123" s="62"/>
      <c r="K123" s="62"/>
      <c r="L123" s="62"/>
      <c r="M123" s="62"/>
    </row>
    <row r="124" spans="1:13" ht="12" customHeight="1">
      <c r="A124" s="61" t="s">
        <v>208</v>
      </c>
      <c r="B124" s="62"/>
      <c r="C124" s="62"/>
      <c r="D124" s="62"/>
      <c r="E124" s="62"/>
      <c r="F124" s="62"/>
      <c r="G124" s="62"/>
      <c r="H124" s="62"/>
      <c r="I124" s="62"/>
      <c r="J124" s="62"/>
      <c r="K124" s="62"/>
      <c r="L124" s="62"/>
      <c r="M124" s="62"/>
    </row>
    <row r="125" spans="1:13" ht="12" customHeight="1">
      <c r="A125" s="61" t="s">
        <v>214</v>
      </c>
      <c r="B125" s="62"/>
      <c r="C125" s="62"/>
      <c r="D125" s="62"/>
      <c r="E125" s="62"/>
      <c r="F125" s="62"/>
      <c r="G125" s="62"/>
      <c r="H125" s="62"/>
      <c r="I125" s="62"/>
      <c r="J125" s="62"/>
      <c r="K125" s="62"/>
      <c r="L125" s="62"/>
      <c r="M125" s="62"/>
    </row>
    <row r="126" spans="1:13" ht="12" customHeight="1">
      <c r="A126" s="61" t="s">
        <v>215</v>
      </c>
      <c r="B126" s="62"/>
      <c r="C126" s="62"/>
      <c r="D126" s="62"/>
      <c r="E126" s="62"/>
      <c r="F126" s="62"/>
      <c r="G126" s="62"/>
      <c r="H126" s="62"/>
      <c r="I126" s="62"/>
      <c r="J126" s="62"/>
      <c r="K126" s="62"/>
      <c r="L126" s="62"/>
      <c r="M126" s="62"/>
    </row>
    <row r="127" spans="1:13" ht="12" customHeight="1">
      <c r="A127" s="61" t="s">
        <v>216</v>
      </c>
      <c r="B127" s="62"/>
      <c r="C127" s="62"/>
      <c r="D127" s="62"/>
      <c r="E127" s="62"/>
      <c r="F127" s="62"/>
      <c r="G127" s="62"/>
      <c r="H127" s="62"/>
      <c r="I127" s="62"/>
      <c r="J127" s="62"/>
      <c r="K127" s="62"/>
      <c r="L127" s="62"/>
      <c r="M127" s="62"/>
    </row>
    <row r="128" spans="1:13" ht="12" customHeight="1">
      <c r="B128" s="253" t="str">
        <f>Table_4.0_Information!$A$13</f>
        <v>10 add state in table 0</v>
      </c>
      <c r="C128" s="253"/>
      <c r="D128" s="253"/>
      <c r="E128" s="253"/>
      <c r="F128" s="253"/>
      <c r="G128" s="253"/>
      <c r="H128" s="253"/>
      <c r="I128" s="253"/>
      <c r="J128" s="253"/>
      <c r="K128" s="253"/>
      <c r="L128" s="253"/>
      <c r="M128" s="253"/>
    </row>
    <row r="129" spans="1:13" ht="12" customHeight="1">
      <c r="A129" s="58" t="s">
        <v>199</v>
      </c>
      <c r="B129" s="59" t="s">
        <v>200</v>
      </c>
      <c r="C129" s="59" t="s">
        <v>201</v>
      </c>
      <c r="D129" s="60" t="s">
        <v>202</v>
      </c>
      <c r="E129" s="60" t="s">
        <v>203</v>
      </c>
      <c r="F129" s="59" t="s">
        <v>204</v>
      </c>
      <c r="G129" s="59" t="s">
        <v>205</v>
      </c>
      <c r="H129" s="59" t="s">
        <v>206</v>
      </c>
      <c r="I129" s="59" t="s">
        <v>207</v>
      </c>
      <c r="J129" s="59" t="s">
        <v>208</v>
      </c>
      <c r="K129" s="60" t="s">
        <v>209</v>
      </c>
      <c r="L129" s="60" t="s">
        <v>210</v>
      </c>
      <c r="M129" s="60" t="s">
        <v>211</v>
      </c>
    </row>
    <row r="130" spans="1:13" ht="12" customHeight="1">
      <c r="A130" s="61" t="s">
        <v>200</v>
      </c>
      <c r="B130" s="62"/>
      <c r="C130" s="62"/>
      <c r="D130" s="62"/>
      <c r="E130" s="62"/>
      <c r="F130" s="62"/>
      <c r="G130" s="62"/>
      <c r="H130" s="62"/>
      <c r="I130" s="62"/>
      <c r="J130" s="62"/>
      <c r="K130" s="62"/>
      <c r="L130" s="62"/>
      <c r="M130" s="62"/>
    </row>
    <row r="131" spans="1:13" ht="12" customHeight="1">
      <c r="A131" s="61" t="s">
        <v>201</v>
      </c>
      <c r="B131" s="62"/>
      <c r="C131" s="62"/>
      <c r="D131" s="62"/>
      <c r="E131" s="62"/>
      <c r="F131" s="62"/>
      <c r="G131" s="62"/>
      <c r="H131" s="62"/>
      <c r="I131" s="62"/>
      <c r="J131" s="62"/>
      <c r="K131" s="62"/>
      <c r="L131" s="62"/>
      <c r="M131" s="62"/>
    </row>
    <row r="132" spans="1:13" ht="12" customHeight="1">
      <c r="A132" s="63" t="s">
        <v>212</v>
      </c>
      <c r="B132" s="62"/>
      <c r="C132" s="62"/>
      <c r="D132" s="62"/>
      <c r="E132" s="62"/>
      <c r="F132" s="62"/>
      <c r="G132" s="62"/>
      <c r="H132" s="62"/>
      <c r="I132" s="62"/>
      <c r="J132" s="62"/>
      <c r="K132" s="62"/>
      <c r="L132" s="62"/>
      <c r="M132" s="62"/>
    </row>
    <row r="133" spans="1:13" ht="12" customHeight="1">
      <c r="A133" s="61" t="s">
        <v>213</v>
      </c>
      <c r="B133" s="62"/>
      <c r="C133" s="62"/>
      <c r="D133" s="62"/>
      <c r="E133" s="62"/>
      <c r="F133" s="62"/>
      <c r="G133" s="62"/>
      <c r="H133" s="62"/>
      <c r="I133" s="62"/>
      <c r="J133" s="62"/>
      <c r="K133" s="62"/>
      <c r="L133" s="62"/>
      <c r="M133" s="62"/>
    </row>
    <row r="134" spans="1:13" ht="12" customHeight="1">
      <c r="A134" s="61" t="s">
        <v>204</v>
      </c>
      <c r="B134" s="62"/>
      <c r="C134" s="62"/>
      <c r="D134" s="62"/>
      <c r="E134" s="62"/>
      <c r="F134" s="62"/>
      <c r="G134" s="62"/>
      <c r="H134" s="62"/>
      <c r="I134" s="62"/>
      <c r="J134" s="62"/>
      <c r="K134" s="62"/>
      <c r="L134" s="62"/>
      <c r="M134" s="62"/>
    </row>
    <row r="135" spans="1:13" ht="12" customHeight="1">
      <c r="A135" s="61" t="s">
        <v>205</v>
      </c>
      <c r="B135" s="62"/>
      <c r="C135" s="62"/>
      <c r="D135" s="62"/>
      <c r="E135" s="62"/>
      <c r="F135" s="62"/>
      <c r="G135" s="62"/>
      <c r="H135" s="62"/>
      <c r="I135" s="62"/>
      <c r="J135" s="62"/>
      <c r="K135" s="62"/>
      <c r="L135" s="62"/>
      <c r="M135" s="62"/>
    </row>
    <row r="136" spans="1:13" ht="12" customHeight="1">
      <c r="A136" s="61" t="s">
        <v>206</v>
      </c>
      <c r="B136" s="62"/>
      <c r="C136" s="62"/>
      <c r="D136" s="62"/>
      <c r="E136" s="62"/>
      <c r="F136" s="62"/>
      <c r="G136" s="62"/>
      <c r="H136" s="62"/>
      <c r="I136" s="62"/>
      <c r="J136" s="62"/>
      <c r="K136" s="62"/>
      <c r="L136" s="62"/>
      <c r="M136" s="62"/>
    </row>
    <row r="137" spans="1:13" ht="12" customHeight="1">
      <c r="A137" s="61" t="s">
        <v>207</v>
      </c>
      <c r="B137" s="62"/>
      <c r="C137" s="62"/>
      <c r="D137" s="62"/>
      <c r="E137" s="62"/>
      <c r="F137" s="62"/>
      <c r="G137" s="62"/>
      <c r="H137" s="62"/>
      <c r="I137" s="62"/>
      <c r="J137" s="62"/>
      <c r="K137" s="62"/>
      <c r="L137" s="62"/>
      <c r="M137" s="62"/>
    </row>
    <row r="138" spans="1:13" ht="12" customHeight="1">
      <c r="A138" s="61" t="s">
        <v>208</v>
      </c>
      <c r="B138" s="62"/>
      <c r="C138" s="62"/>
      <c r="D138" s="62"/>
      <c r="E138" s="62"/>
      <c r="F138" s="62"/>
      <c r="G138" s="62"/>
      <c r="H138" s="62"/>
      <c r="I138" s="62"/>
      <c r="J138" s="62"/>
      <c r="K138" s="62"/>
      <c r="L138" s="62"/>
      <c r="M138" s="62"/>
    </row>
    <row r="139" spans="1:13" ht="12" customHeight="1">
      <c r="A139" s="61" t="s">
        <v>214</v>
      </c>
      <c r="B139" s="62"/>
      <c r="C139" s="62"/>
      <c r="D139" s="62"/>
      <c r="E139" s="62"/>
      <c r="F139" s="62"/>
      <c r="G139" s="62"/>
      <c r="H139" s="62"/>
      <c r="I139" s="62"/>
      <c r="J139" s="62"/>
      <c r="K139" s="62"/>
      <c r="L139" s="62"/>
      <c r="M139" s="62"/>
    </row>
    <row r="140" spans="1:13" ht="12" customHeight="1">
      <c r="A140" s="61" t="s">
        <v>215</v>
      </c>
      <c r="B140" s="62"/>
      <c r="C140" s="62"/>
      <c r="D140" s="62"/>
      <c r="E140" s="62"/>
      <c r="F140" s="62"/>
      <c r="G140" s="62"/>
      <c r="H140" s="62"/>
      <c r="I140" s="62"/>
      <c r="J140" s="62"/>
      <c r="K140" s="62"/>
      <c r="L140" s="62"/>
      <c r="M140" s="62"/>
    </row>
    <row r="141" spans="1:13" ht="12" customHeight="1">
      <c r="A141" s="61" t="s">
        <v>216</v>
      </c>
      <c r="B141" s="62"/>
      <c r="C141" s="62"/>
      <c r="D141" s="62"/>
      <c r="E141" s="62"/>
      <c r="F141" s="62"/>
      <c r="G141" s="62"/>
      <c r="H141" s="62"/>
      <c r="I141" s="62"/>
      <c r="J141" s="62"/>
      <c r="K141" s="62"/>
      <c r="L141" s="62"/>
      <c r="M141" s="62"/>
    </row>
    <row r="142" spans="1:13" ht="12" customHeight="1">
      <c r="B142" s="253" t="str">
        <f>Table_4.0_Information!$A$14</f>
        <v>11 add state in table 0</v>
      </c>
      <c r="C142" s="253"/>
      <c r="D142" s="253"/>
      <c r="E142" s="253"/>
      <c r="F142" s="253"/>
      <c r="G142" s="253"/>
      <c r="H142" s="253"/>
      <c r="I142" s="253"/>
      <c r="J142" s="253"/>
      <c r="K142" s="253"/>
      <c r="L142" s="253"/>
      <c r="M142" s="253"/>
    </row>
    <row r="143" spans="1:13" ht="12" customHeight="1">
      <c r="A143" s="58" t="s">
        <v>199</v>
      </c>
      <c r="B143" s="59" t="s">
        <v>200</v>
      </c>
      <c r="C143" s="59" t="s">
        <v>201</v>
      </c>
      <c r="D143" s="60" t="s">
        <v>202</v>
      </c>
      <c r="E143" s="60" t="s">
        <v>203</v>
      </c>
      <c r="F143" s="59" t="s">
        <v>204</v>
      </c>
      <c r="G143" s="59" t="s">
        <v>205</v>
      </c>
      <c r="H143" s="59" t="s">
        <v>206</v>
      </c>
      <c r="I143" s="59" t="s">
        <v>207</v>
      </c>
      <c r="J143" s="59" t="s">
        <v>208</v>
      </c>
      <c r="K143" s="60" t="s">
        <v>209</v>
      </c>
      <c r="L143" s="60" t="s">
        <v>210</v>
      </c>
      <c r="M143" s="60" t="s">
        <v>211</v>
      </c>
    </row>
    <row r="144" spans="1:13" ht="12" customHeight="1">
      <c r="A144" s="61" t="s">
        <v>200</v>
      </c>
      <c r="B144" s="62"/>
      <c r="C144" s="62"/>
      <c r="D144" s="62"/>
      <c r="E144" s="62"/>
      <c r="F144" s="62"/>
      <c r="G144" s="62"/>
      <c r="H144" s="62"/>
      <c r="I144" s="62"/>
      <c r="J144" s="62"/>
      <c r="K144" s="62"/>
      <c r="L144" s="62"/>
      <c r="M144" s="62"/>
    </row>
    <row r="145" spans="1:13" ht="12" customHeight="1">
      <c r="A145" s="61" t="s">
        <v>201</v>
      </c>
      <c r="B145" s="62"/>
      <c r="C145" s="62"/>
      <c r="D145" s="62"/>
      <c r="E145" s="62"/>
      <c r="F145" s="62"/>
      <c r="G145" s="62"/>
      <c r="H145" s="62"/>
      <c r="I145" s="62"/>
      <c r="J145" s="62"/>
      <c r="K145" s="62"/>
      <c r="L145" s="62"/>
      <c r="M145" s="62"/>
    </row>
    <row r="146" spans="1:13" ht="12" customHeight="1">
      <c r="A146" s="63" t="s">
        <v>212</v>
      </c>
      <c r="B146" s="62"/>
      <c r="C146" s="62"/>
      <c r="D146" s="62"/>
      <c r="E146" s="62"/>
      <c r="F146" s="62"/>
      <c r="G146" s="62"/>
      <c r="H146" s="62"/>
      <c r="I146" s="62"/>
      <c r="J146" s="62"/>
      <c r="K146" s="62"/>
      <c r="L146" s="62"/>
      <c r="M146" s="62"/>
    </row>
    <row r="147" spans="1:13" ht="12" customHeight="1">
      <c r="A147" s="61" t="s">
        <v>213</v>
      </c>
      <c r="B147" s="62"/>
      <c r="C147" s="62"/>
      <c r="D147" s="62"/>
      <c r="E147" s="62"/>
      <c r="F147" s="62"/>
      <c r="G147" s="62"/>
      <c r="H147" s="62"/>
      <c r="I147" s="62"/>
      <c r="J147" s="62"/>
      <c r="K147" s="62"/>
      <c r="L147" s="62"/>
      <c r="M147" s="62"/>
    </row>
    <row r="148" spans="1:13" ht="12" customHeight="1">
      <c r="A148" s="61" t="s">
        <v>204</v>
      </c>
      <c r="B148" s="62"/>
      <c r="C148" s="62"/>
      <c r="D148" s="62"/>
      <c r="E148" s="62"/>
      <c r="F148" s="62"/>
      <c r="G148" s="62"/>
      <c r="H148" s="62"/>
      <c r="I148" s="62"/>
      <c r="J148" s="62"/>
      <c r="K148" s="62"/>
      <c r="L148" s="62"/>
      <c r="M148" s="62"/>
    </row>
    <row r="149" spans="1:13" ht="12" customHeight="1">
      <c r="A149" s="61" t="s">
        <v>205</v>
      </c>
      <c r="B149" s="62"/>
      <c r="C149" s="62"/>
      <c r="D149" s="62"/>
      <c r="E149" s="62"/>
      <c r="F149" s="62"/>
      <c r="G149" s="62"/>
      <c r="H149" s="62"/>
      <c r="I149" s="62"/>
      <c r="J149" s="62"/>
      <c r="K149" s="62"/>
      <c r="L149" s="62"/>
      <c r="M149" s="62"/>
    </row>
    <row r="150" spans="1:13" ht="12" customHeight="1">
      <c r="A150" s="61" t="s">
        <v>206</v>
      </c>
      <c r="B150" s="62"/>
      <c r="C150" s="62"/>
      <c r="D150" s="62"/>
      <c r="E150" s="62"/>
      <c r="F150" s="62"/>
      <c r="G150" s="62"/>
      <c r="H150" s="62"/>
      <c r="I150" s="62"/>
      <c r="J150" s="62"/>
      <c r="K150" s="62"/>
      <c r="L150" s="62"/>
      <c r="M150" s="62"/>
    </row>
    <row r="151" spans="1:13" ht="12" customHeight="1">
      <c r="A151" s="61" t="s">
        <v>207</v>
      </c>
      <c r="B151" s="62"/>
      <c r="C151" s="62"/>
      <c r="D151" s="62"/>
      <c r="E151" s="62"/>
      <c r="F151" s="62"/>
      <c r="G151" s="62"/>
      <c r="H151" s="62"/>
      <c r="I151" s="62"/>
      <c r="J151" s="62"/>
      <c r="K151" s="62"/>
      <c r="L151" s="62"/>
      <c r="M151" s="62"/>
    </row>
    <row r="152" spans="1:13" ht="12" customHeight="1">
      <c r="A152" s="61" t="s">
        <v>208</v>
      </c>
      <c r="B152" s="62"/>
      <c r="C152" s="62"/>
      <c r="D152" s="62"/>
      <c r="E152" s="62"/>
      <c r="F152" s="62"/>
      <c r="G152" s="62"/>
      <c r="H152" s="62"/>
      <c r="I152" s="62"/>
      <c r="J152" s="62"/>
      <c r="K152" s="62"/>
      <c r="L152" s="62"/>
      <c r="M152" s="62"/>
    </row>
    <row r="153" spans="1:13" ht="12" customHeight="1">
      <c r="A153" s="61" t="s">
        <v>214</v>
      </c>
      <c r="B153" s="62"/>
      <c r="C153" s="62"/>
      <c r="D153" s="62"/>
      <c r="E153" s="62"/>
      <c r="F153" s="62"/>
      <c r="G153" s="62"/>
      <c r="H153" s="62"/>
      <c r="I153" s="62"/>
      <c r="J153" s="62"/>
      <c r="K153" s="62"/>
      <c r="L153" s="62"/>
      <c r="M153" s="62"/>
    </row>
    <row r="154" spans="1:13" ht="12" customHeight="1">
      <c r="A154" s="61" t="s">
        <v>215</v>
      </c>
      <c r="B154" s="62"/>
      <c r="C154" s="62"/>
      <c r="D154" s="62"/>
      <c r="E154" s="62"/>
      <c r="F154" s="62"/>
      <c r="G154" s="62"/>
      <c r="H154" s="62"/>
      <c r="I154" s="62"/>
      <c r="J154" s="62"/>
      <c r="K154" s="62"/>
      <c r="L154" s="62"/>
      <c r="M154" s="62"/>
    </row>
    <row r="155" spans="1:13" ht="12" customHeight="1">
      <c r="A155" s="61" t="s">
        <v>216</v>
      </c>
      <c r="B155" s="62"/>
      <c r="C155" s="62"/>
      <c r="D155" s="62"/>
      <c r="E155" s="62"/>
      <c r="F155" s="62"/>
      <c r="G155" s="62"/>
      <c r="H155" s="62"/>
      <c r="I155" s="62"/>
      <c r="J155" s="62"/>
      <c r="K155" s="62"/>
      <c r="L155" s="62"/>
      <c r="M155" s="62"/>
    </row>
    <row r="156" spans="1:13" ht="12" customHeight="1">
      <c r="B156" s="253" t="str">
        <f>Table_4.0_Information!$A$15</f>
        <v>12 add state in table 0</v>
      </c>
      <c r="C156" s="253"/>
      <c r="D156" s="253"/>
      <c r="E156" s="253"/>
      <c r="F156" s="253"/>
      <c r="G156" s="253"/>
      <c r="H156" s="253"/>
      <c r="I156" s="253"/>
      <c r="J156" s="253"/>
      <c r="K156" s="253"/>
      <c r="L156" s="253"/>
      <c r="M156" s="253"/>
    </row>
    <row r="157" spans="1:13" ht="12" customHeight="1">
      <c r="A157" s="58" t="s">
        <v>199</v>
      </c>
      <c r="B157" s="59" t="s">
        <v>200</v>
      </c>
      <c r="C157" s="59" t="s">
        <v>201</v>
      </c>
      <c r="D157" s="60" t="s">
        <v>202</v>
      </c>
      <c r="E157" s="60" t="s">
        <v>203</v>
      </c>
      <c r="F157" s="59" t="s">
        <v>204</v>
      </c>
      <c r="G157" s="59" t="s">
        <v>205</v>
      </c>
      <c r="H157" s="59" t="s">
        <v>206</v>
      </c>
      <c r="I157" s="59" t="s">
        <v>207</v>
      </c>
      <c r="J157" s="59" t="s">
        <v>208</v>
      </c>
      <c r="K157" s="60" t="s">
        <v>209</v>
      </c>
      <c r="L157" s="60" t="s">
        <v>210</v>
      </c>
      <c r="M157" s="60" t="s">
        <v>211</v>
      </c>
    </row>
    <row r="158" spans="1:13" ht="12" customHeight="1">
      <c r="A158" s="61" t="s">
        <v>200</v>
      </c>
      <c r="B158" s="62"/>
      <c r="C158" s="62"/>
      <c r="D158" s="62"/>
      <c r="E158" s="62"/>
      <c r="F158" s="62"/>
      <c r="G158" s="62"/>
      <c r="H158" s="62"/>
      <c r="I158" s="62"/>
      <c r="J158" s="62"/>
      <c r="K158" s="62"/>
      <c r="L158" s="62"/>
      <c r="M158" s="62"/>
    </row>
    <row r="159" spans="1:13" ht="12" customHeight="1">
      <c r="A159" s="61" t="s">
        <v>201</v>
      </c>
      <c r="B159" s="62"/>
      <c r="C159" s="62"/>
      <c r="D159" s="62"/>
      <c r="E159" s="62"/>
      <c r="F159" s="62"/>
      <c r="G159" s="62"/>
      <c r="H159" s="62"/>
      <c r="I159" s="62"/>
      <c r="J159" s="62"/>
      <c r="K159" s="62"/>
      <c r="L159" s="62"/>
      <c r="M159" s="62"/>
    </row>
    <row r="160" spans="1:13" ht="12" customHeight="1">
      <c r="A160" s="63" t="s">
        <v>212</v>
      </c>
      <c r="B160" s="62"/>
      <c r="C160" s="62"/>
      <c r="D160" s="62"/>
      <c r="E160" s="62"/>
      <c r="F160" s="62"/>
      <c r="G160" s="62"/>
      <c r="H160" s="62"/>
      <c r="I160" s="62"/>
      <c r="J160" s="62"/>
      <c r="K160" s="62"/>
      <c r="L160" s="62"/>
      <c r="M160" s="62"/>
    </row>
    <row r="161" spans="1:13" ht="12" customHeight="1">
      <c r="A161" s="61" t="s">
        <v>213</v>
      </c>
      <c r="B161" s="62"/>
      <c r="C161" s="62"/>
      <c r="D161" s="62"/>
      <c r="E161" s="62"/>
      <c r="F161" s="62"/>
      <c r="G161" s="62"/>
      <c r="H161" s="62"/>
      <c r="I161" s="62"/>
      <c r="J161" s="62"/>
      <c r="K161" s="62"/>
      <c r="L161" s="62"/>
      <c r="M161" s="62"/>
    </row>
    <row r="162" spans="1:13" ht="12" customHeight="1">
      <c r="A162" s="61" t="s">
        <v>204</v>
      </c>
      <c r="B162" s="62"/>
      <c r="C162" s="62"/>
      <c r="D162" s="62"/>
      <c r="E162" s="62"/>
      <c r="F162" s="62"/>
      <c r="G162" s="62"/>
      <c r="H162" s="62"/>
      <c r="I162" s="62"/>
      <c r="J162" s="62"/>
      <c r="K162" s="62"/>
      <c r="L162" s="62"/>
      <c r="M162" s="62"/>
    </row>
    <row r="163" spans="1:13" ht="12" customHeight="1">
      <c r="A163" s="61" t="s">
        <v>205</v>
      </c>
      <c r="B163" s="62"/>
      <c r="C163" s="62"/>
      <c r="D163" s="62"/>
      <c r="E163" s="62"/>
      <c r="F163" s="62"/>
      <c r="G163" s="62"/>
      <c r="H163" s="62"/>
      <c r="I163" s="62"/>
      <c r="J163" s="62"/>
      <c r="K163" s="62"/>
      <c r="L163" s="62"/>
      <c r="M163" s="62"/>
    </row>
    <row r="164" spans="1:13" ht="12" customHeight="1">
      <c r="A164" s="61" t="s">
        <v>206</v>
      </c>
      <c r="B164" s="62"/>
      <c r="C164" s="62"/>
      <c r="D164" s="62"/>
      <c r="E164" s="62"/>
      <c r="F164" s="62"/>
      <c r="G164" s="62"/>
      <c r="H164" s="62"/>
      <c r="I164" s="62"/>
      <c r="J164" s="62"/>
      <c r="K164" s="62"/>
      <c r="L164" s="62"/>
      <c r="M164" s="62"/>
    </row>
    <row r="165" spans="1:13" ht="12" customHeight="1">
      <c r="A165" s="61" t="s">
        <v>207</v>
      </c>
      <c r="B165" s="62"/>
      <c r="C165" s="62"/>
      <c r="D165" s="62"/>
      <c r="E165" s="62"/>
      <c r="F165" s="62"/>
      <c r="G165" s="62"/>
      <c r="H165" s="62"/>
      <c r="I165" s="62"/>
      <c r="J165" s="62"/>
      <c r="K165" s="62"/>
      <c r="L165" s="62"/>
      <c r="M165" s="62"/>
    </row>
    <row r="166" spans="1:13" ht="12" customHeight="1">
      <c r="A166" s="61" t="s">
        <v>208</v>
      </c>
      <c r="B166" s="62"/>
      <c r="C166" s="62"/>
      <c r="D166" s="62"/>
      <c r="E166" s="62"/>
      <c r="F166" s="62"/>
      <c r="G166" s="62"/>
      <c r="H166" s="62"/>
      <c r="I166" s="62"/>
      <c r="J166" s="62"/>
      <c r="K166" s="62"/>
      <c r="L166" s="62"/>
      <c r="M166" s="62"/>
    </row>
    <row r="167" spans="1:13" ht="12" customHeight="1">
      <c r="A167" s="61" t="s">
        <v>214</v>
      </c>
      <c r="B167" s="62"/>
      <c r="C167" s="62"/>
      <c r="D167" s="62"/>
      <c r="E167" s="62"/>
      <c r="F167" s="62"/>
      <c r="G167" s="62"/>
      <c r="H167" s="62"/>
      <c r="I167" s="62"/>
      <c r="J167" s="62"/>
      <c r="K167" s="62"/>
      <c r="L167" s="62"/>
      <c r="M167" s="62"/>
    </row>
    <row r="168" spans="1:13" ht="12" customHeight="1">
      <c r="A168" s="61" t="s">
        <v>215</v>
      </c>
      <c r="B168" s="62"/>
      <c r="C168" s="62"/>
      <c r="D168" s="62"/>
      <c r="E168" s="62"/>
      <c r="F168" s="62"/>
      <c r="G168" s="62"/>
      <c r="H168" s="62"/>
      <c r="I168" s="62"/>
      <c r="J168" s="62"/>
      <c r="K168" s="62"/>
      <c r="L168" s="62"/>
      <c r="M168" s="62"/>
    </row>
    <row r="169" spans="1:13" ht="12" customHeight="1">
      <c r="A169" s="61" t="s">
        <v>216</v>
      </c>
      <c r="B169" s="62"/>
      <c r="C169" s="62"/>
      <c r="D169" s="62"/>
      <c r="E169" s="62"/>
      <c r="F169" s="62"/>
      <c r="G169" s="62"/>
      <c r="H169" s="62"/>
      <c r="I169" s="62"/>
      <c r="J169" s="62"/>
      <c r="K169" s="62"/>
      <c r="L169" s="62"/>
      <c r="M169" s="62"/>
    </row>
  </sheetData>
  <mergeCells count="13">
    <mergeCell ref="A1:M1"/>
    <mergeCell ref="B2:M2"/>
    <mergeCell ref="B16:M16"/>
    <mergeCell ref="B30:M30"/>
    <mergeCell ref="B44:M44"/>
    <mergeCell ref="B142:M142"/>
    <mergeCell ref="B156:M156"/>
    <mergeCell ref="B58:M58"/>
    <mergeCell ref="B72:M72"/>
    <mergeCell ref="B86:M86"/>
    <mergeCell ref="B100:M100"/>
    <mergeCell ref="B114:M114"/>
    <mergeCell ref="B128:M128"/>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172"/>
  <sheetViews>
    <sheetView topLeftCell="I31" zoomScale="70" zoomScaleNormal="70" workbookViewId="0">
      <selection activeCell="D9" sqref="D9"/>
    </sheetView>
  </sheetViews>
  <sheetFormatPr baseColWidth="10" defaultColWidth="10.6640625" defaultRowHeight="12" customHeight="1"/>
  <cols>
    <col min="1" max="1" width="47" style="78" customWidth="1"/>
    <col min="2" max="2" width="13.5" style="78" customWidth="1"/>
    <col min="3" max="3" width="12.5" style="78" customWidth="1"/>
    <col min="4" max="4" width="20" style="78" customWidth="1"/>
    <col min="5" max="5" width="15" style="78" customWidth="1"/>
    <col min="6" max="6" width="21" style="78" customWidth="1"/>
    <col min="7" max="7" width="25" style="78" customWidth="1"/>
    <col min="8" max="8" width="31" style="78" customWidth="1"/>
    <col min="9" max="9" width="9" style="78" customWidth="1"/>
    <col min="10" max="10" width="20" style="78" customWidth="1"/>
    <col min="11" max="11" width="10.33203125" style="78" customWidth="1"/>
    <col min="12" max="12" width="21" style="78" customWidth="1"/>
    <col min="13" max="13" width="22.6640625" style="78" customWidth="1"/>
    <col min="14" max="14" width="10.6640625" style="78" customWidth="1"/>
    <col min="15" max="15" width="5.33203125" style="78" customWidth="1"/>
    <col min="16" max="16" width="37.1640625" style="78" customWidth="1"/>
    <col min="17" max="17" width="15.1640625" style="78" customWidth="1"/>
    <col min="18" max="18" width="13.6640625" style="78" customWidth="1"/>
    <col min="19" max="19" width="16.6640625" style="78" customWidth="1"/>
    <col min="20" max="20" width="17.6640625" style="78" customWidth="1"/>
    <col min="21" max="21" width="22.1640625" style="78" customWidth="1"/>
    <col min="22" max="22" width="19.1640625" style="78" customWidth="1"/>
    <col min="23" max="23" width="19.33203125" style="78" customWidth="1"/>
    <col min="24" max="24" width="15.1640625" style="78" customWidth="1"/>
    <col min="25" max="25" width="21.6640625" style="78" customWidth="1"/>
    <col min="26" max="26" width="15.6640625" style="78" customWidth="1"/>
    <col min="27" max="27" width="21.5" style="78" customWidth="1"/>
    <col min="28" max="28" width="18" style="78" customWidth="1"/>
    <col min="29" max="16384" width="10.6640625" style="78"/>
  </cols>
  <sheetData>
    <row r="1" spans="1:28" ht="16">
      <c r="A1" s="85" t="s">
        <v>226</v>
      </c>
      <c r="B1" s="86"/>
      <c r="C1" s="86"/>
      <c r="D1" s="86"/>
      <c r="E1" s="86"/>
      <c r="F1" s="86"/>
      <c r="G1" s="86"/>
      <c r="H1" s="86"/>
      <c r="I1" s="86"/>
      <c r="J1" s="86"/>
      <c r="K1" s="86"/>
      <c r="L1" s="86"/>
      <c r="M1" s="86"/>
    </row>
    <row r="2" spans="1:28" ht="26">
      <c r="B2" s="84" t="str">
        <f>Table_4.0_Information!$A$4</f>
        <v>Colorado</v>
      </c>
      <c r="C2" s="84"/>
      <c r="D2" s="84"/>
      <c r="E2" s="84"/>
      <c r="F2" s="84"/>
      <c r="G2" s="84"/>
      <c r="H2" s="84"/>
      <c r="I2" s="84"/>
      <c r="J2" s="84"/>
      <c r="K2" s="84"/>
      <c r="L2" s="84"/>
      <c r="M2" s="84"/>
      <c r="P2" s="296" t="str">
        <f>Table_4.0_Information!$A$4</f>
        <v>Colorado</v>
      </c>
      <c r="Q2" s="296"/>
      <c r="R2" s="296"/>
      <c r="S2" s="296"/>
      <c r="T2" s="296"/>
      <c r="U2" s="296"/>
      <c r="V2" s="296"/>
      <c r="W2" s="296"/>
      <c r="X2" s="296"/>
      <c r="Y2" s="296"/>
      <c r="Z2" s="296"/>
      <c r="AA2" s="296"/>
      <c r="AB2" s="296"/>
    </row>
    <row r="3" spans="1:28" ht="48">
      <c r="A3" s="58" t="s">
        <v>199</v>
      </c>
      <c r="B3" s="93" t="s">
        <v>200</v>
      </c>
      <c r="C3" s="93" t="s">
        <v>201</v>
      </c>
      <c r="D3" s="92" t="s">
        <v>212</v>
      </c>
      <c r="E3" s="93" t="s">
        <v>213</v>
      </c>
      <c r="F3" s="93" t="s">
        <v>204</v>
      </c>
      <c r="G3" s="93" t="s">
        <v>205</v>
      </c>
      <c r="H3" s="93" t="s">
        <v>206</v>
      </c>
      <c r="I3" s="93" t="s">
        <v>207</v>
      </c>
      <c r="J3" s="93" t="s">
        <v>208</v>
      </c>
      <c r="K3" s="93" t="s">
        <v>214</v>
      </c>
      <c r="L3" s="93" t="s">
        <v>215</v>
      </c>
      <c r="M3" s="93" t="s">
        <v>216</v>
      </c>
      <c r="P3" s="58"/>
      <c r="Q3" s="93" t="s">
        <v>200</v>
      </c>
      <c r="R3" s="93" t="s">
        <v>201</v>
      </c>
      <c r="S3" s="92" t="s">
        <v>304</v>
      </c>
      <c r="T3" s="93" t="s">
        <v>305</v>
      </c>
      <c r="U3" s="93" t="s">
        <v>204</v>
      </c>
      <c r="V3" s="93" t="s">
        <v>306</v>
      </c>
      <c r="W3" s="93" t="s">
        <v>307</v>
      </c>
      <c r="X3" s="93" t="s">
        <v>207</v>
      </c>
      <c r="Y3" s="93" t="s">
        <v>208</v>
      </c>
      <c r="Z3" s="93" t="s">
        <v>214</v>
      </c>
      <c r="AA3" s="93" t="s">
        <v>215</v>
      </c>
      <c r="AB3" s="93" t="s">
        <v>308</v>
      </c>
    </row>
    <row r="4" spans="1:28" ht="16">
      <c r="A4" s="61" t="s">
        <v>200</v>
      </c>
      <c r="B4" s="91">
        <v>275</v>
      </c>
      <c r="C4" s="87">
        <v>7</v>
      </c>
      <c r="D4" s="87">
        <v>5</v>
      </c>
      <c r="E4" s="87">
        <v>2</v>
      </c>
      <c r="F4" s="87">
        <v>5</v>
      </c>
      <c r="G4" s="87">
        <v>5</v>
      </c>
      <c r="H4" s="87"/>
      <c r="I4" s="87">
        <v>4</v>
      </c>
      <c r="J4" s="87">
        <v>6</v>
      </c>
      <c r="K4" s="87">
        <v>4</v>
      </c>
      <c r="L4" s="87">
        <v>1</v>
      </c>
      <c r="M4" s="87"/>
      <c r="N4" s="78">
        <f t="shared" ref="N4:N15" si="0">SUM(B4:M4)</f>
        <v>314</v>
      </c>
      <c r="P4" s="104" t="s">
        <v>200</v>
      </c>
      <c r="Q4" s="97">
        <f>B4/314</f>
        <v>0.87579617834394907</v>
      </c>
      <c r="R4" s="98">
        <f>C4/3718</f>
        <v>1.8827326519634212E-3</v>
      </c>
      <c r="S4" s="98">
        <f>D4/2171</f>
        <v>2.3030861354214646E-3</v>
      </c>
      <c r="T4" s="96">
        <f>E4/1559</f>
        <v>1.2828736369467607E-3</v>
      </c>
      <c r="U4" s="98">
        <f>F4/679</f>
        <v>7.3637702503681884E-3</v>
      </c>
      <c r="V4" s="98">
        <f>G4/499</f>
        <v>1.002004008016032E-2</v>
      </c>
      <c r="W4" s="98">
        <f>H4/186</f>
        <v>0</v>
      </c>
      <c r="X4" s="98">
        <f>I4/101</f>
        <v>3.9603960396039604E-2</v>
      </c>
      <c r="Y4" s="98">
        <f>J4/1137</f>
        <v>5.2770448548812663E-3</v>
      </c>
      <c r="Z4" s="98">
        <f>K4/367</f>
        <v>1.0899182561307902E-2</v>
      </c>
      <c r="AA4" s="98">
        <f>L4/18</f>
        <v>5.5555555555555552E-2</v>
      </c>
      <c r="AB4" s="98">
        <f>M4/8</f>
        <v>0</v>
      </c>
    </row>
    <row r="5" spans="1:28" ht="16">
      <c r="A5" s="61" t="s">
        <v>201</v>
      </c>
      <c r="B5" s="87">
        <v>7</v>
      </c>
      <c r="C5" s="91">
        <v>1768</v>
      </c>
      <c r="D5" s="87">
        <v>1016</v>
      </c>
      <c r="E5" s="87">
        <v>756</v>
      </c>
      <c r="F5" s="87">
        <v>25</v>
      </c>
      <c r="G5" s="87">
        <v>24</v>
      </c>
      <c r="H5" s="87">
        <v>1</v>
      </c>
      <c r="I5" s="87">
        <v>6</v>
      </c>
      <c r="J5" s="87">
        <v>105</v>
      </c>
      <c r="K5" s="87">
        <v>10</v>
      </c>
      <c r="L5" s="87"/>
      <c r="M5" s="87"/>
      <c r="N5" s="78">
        <f t="shared" si="0"/>
        <v>3718</v>
      </c>
      <c r="P5" s="104" t="s">
        <v>201</v>
      </c>
      <c r="Q5" s="99">
        <f t="shared" ref="Q5:Q15" si="1">B5/314</f>
        <v>2.2292993630573247E-2</v>
      </c>
      <c r="R5" s="97">
        <f t="shared" ref="R5:R15" si="2">C5/3718</f>
        <v>0.47552447552447552</v>
      </c>
      <c r="S5" s="98">
        <f t="shared" ref="S5:S15" si="3">D5/2171</f>
        <v>0.46798710271764166</v>
      </c>
      <c r="T5" s="96">
        <f t="shared" ref="T5:T15" si="4">E5/1559</f>
        <v>0.48492623476587554</v>
      </c>
      <c r="U5" s="98">
        <f t="shared" ref="U5:U15" si="5">F5/679</f>
        <v>3.6818851251840944E-2</v>
      </c>
      <c r="V5" s="98">
        <f t="shared" ref="V5:V15" si="6">G5/499</f>
        <v>4.8096192384769539E-2</v>
      </c>
      <c r="W5" s="98">
        <f t="shared" ref="W5:W15" si="7">H5/186</f>
        <v>5.3763440860215058E-3</v>
      </c>
      <c r="X5" s="98">
        <f t="shared" ref="X5:X15" si="8">I5/101</f>
        <v>5.9405940594059403E-2</v>
      </c>
      <c r="Y5" s="98">
        <f t="shared" ref="Y5:Y15" si="9">J5/1137</f>
        <v>9.2348284960422161E-2</v>
      </c>
      <c r="Z5" s="98">
        <f t="shared" ref="Z5:Z15" si="10">K5/367</f>
        <v>2.7247956403269755E-2</v>
      </c>
      <c r="AA5" s="98">
        <f t="shared" ref="AA5:AA15" si="11">L5/18</f>
        <v>0</v>
      </c>
      <c r="AB5" s="98">
        <f t="shared" ref="AB5:AB15" si="12">M5/8</f>
        <v>0</v>
      </c>
    </row>
    <row r="6" spans="1:28" ht="38.25" customHeight="1">
      <c r="A6" s="63" t="s">
        <v>212</v>
      </c>
      <c r="B6" s="87">
        <v>5</v>
      </c>
      <c r="C6" s="87">
        <v>1016</v>
      </c>
      <c r="D6" s="91">
        <v>1016</v>
      </c>
      <c r="E6" s="87">
        <v>4</v>
      </c>
      <c r="F6" s="87">
        <v>9</v>
      </c>
      <c r="G6" s="87">
        <v>8</v>
      </c>
      <c r="H6" s="87">
        <v>1</v>
      </c>
      <c r="I6" s="87">
        <v>2</v>
      </c>
      <c r="J6" s="87">
        <v>100</v>
      </c>
      <c r="K6" s="87">
        <v>10</v>
      </c>
      <c r="L6" s="87"/>
      <c r="M6" s="87"/>
      <c r="N6" s="78">
        <f t="shared" si="0"/>
        <v>2171</v>
      </c>
      <c r="P6" s="63" t="s">
        <v>304</v>
      </c>
      <c r="Q6" s="99">
        <f t="shared" si="1"/>
        <v>1.5923566878980892E-2</v>
      </c>
      <c r="R6" s="98">
        <f t="shared" si="2"/>
        <v>0.27326519634211943</v>
      </c>
      <c r="S6" s="97">
        <f t="shared" si="3"/>
        <v>0.46798710271764166</v>
      </c>
      <c r="T6" s="96">
        <f t="shared" si="4"/>
        <v>2.5657472738935213E-3</v>
      </c>
      <c r="U6" s="98">
        <f t="shared" si="5"/>
        <v>1.3254786450662739E-2</v>
      </c>
      <c r="V6" s="98">
        <f t="shared" si="6"/>
        <v>1.6032064128256512E-2</v>
      </c>
      <c r="W6" s="98">
        <f t="shared" si="7"/>
        <v>5.3763440860215058E-3</v>
      </c>
      <c r="X6" s="98">
        <f t="shared" si="8"/>
        <v>1.9801980198019802E-2</v>
      </c>
      <c r="Y6" s="98">
        <f t="shared" si="9"/>
        <v>8.7950747581354446E-2</v>
      </c>
      <c r="Z6" s="98">
        <f t="shared" si="10"/>
        <v>2.7247956403269755E-2</v>
      </c>
      <c r="AA6" s="98">
        <f t="shared" si="11"/>
        <v>0</v>
      </c>
      <c r="AB6" s="98">
        <f t="shared" si="12"/>
        <v>0</v>
      </c>
    </row>
    <row r="7" spans="1:28" ht="16">
      <c r="A7" s="61" t="s">
        <v>213</v>
      </c>
      <c r="B7" s="87">
        <v>2</v>
      </c>
      <c r="C7" s="87">
        <v>756</v>
      </c>
      <c r="D7" s="87">
        <v>4</v>
      </c>
      <c r="E7" s="91">
        <v>756</v>
      </c>
      <c r="F7" s="87">
        <v>16</v>
      </c>
      <c r="G7" s="87">
        <v>16</v>
      </c>
      <c r="H7" s="87"/>
      <c r="I7" s="87">
        <v>4</v>
      </c>
      <c r="J7" s="87">
        <v>5</v>
      </c>
      <c r="K7" s="87"/>
      <c r="L7" s="87"/>
      <c r="M7" s="87"/>
      <c r="N7" s="78">
        <f t="shared" si="0"/>
        <v>1559</v>
      </c>
      <c r="P7" s="104" t="s">
        <v>305</v>
      </c>
      <c r="Q7" s="99">
        <f t="shared" si="1"/>
        <v>6.369426751592357E-3</v>
      </c>
      <c r="R7" s="98">
        <f t="shared" si="2"/>
        <v>0.20333512641204948</v>
      </c>
      <c r="S7" s="98">
        <f t="shared" si="3"/>
        <v>1.8424689083371719E-3</v>
      </c>
      <c r="T7" s="95">
        <f t="shared" si="4"/>
        <v>0.48492623476587554</v>
      </c>
      <c r="U7" s="98">
        <f t="shared" si="5"/>
        <v>2.3564064801178203E-2</v>
      </c>
      <c r="V7" s="98">
        <f t="shared" si="6"/>
        <v>3.2064128256513023E-2</v>
      </c>
      <c r="W7" s="98">
        <f t="shared" si="7"/>
        <v>0</v>
      </c>
      <c r="X7" s="98">
        <f t="shared" si="8"/>
        <v>3.9603960396039604E-2</v>
      </c>
      <c r="Y7" s="98">
        <f t="shared" si="9"/>
        <v>4.3975373790677225E-3</v>
      </c>
      <c r="Z7" s="98">
        <f t="shared" si="10"/>
        <v>0</v>
      </c>
      <c r="AA7" s="98">
        <f t="shared" si="11"/>
        <v>0</v>
      </c>
      <c r="AB7" s="98">
        <f t="shared" si="12"/>
        <v>0</v>
      </c>
    </row>
    <row r="8" spans="1:28" ht="16">
      <c r="A8" s="61" t="s">
        <v>204</v>
      </c>
      <c r="B8" s="87">
        <v>5</v>
      </c>
      <c r="C8" s="87">
        <v>25</v>
      </c>
      <c r="D8" s="87">
        <v>9</v>
      </c>
      <c r="E8" s="87">
        <v>16</v>
      </c>
      <c r="F8" s="91">
        <v>306</v>
      </c>
      <c r="G8" s="87">
        <v>218</v>
      </c>
      <c r="H8" s="87">
        <v>90</v>
      </c>
      <c r="I8" s="87">
        <v>3</v>
      </c>
      <c r="J8" s="87">
        <v>5</v>
      </c>
      <c r="K8" s="87">
        <v>1</v>
      </c>
      <c r="L8" s="87">
        <v>1</v>
      </c>
      <c r="M8" s="87"/>
      <c r="N8" s="78">
        <f t="shared" si="0"/>
        <v>679</v>
      </c>
      <c r="P8" s="104" t="s">
        <v>204</v>
      </c>
      <c r="Q8" s="99">
        <f t="shared" si="1"/>
        <v>1.5923566878980892E-2</v>
      </c>
      <c r="R8" s="98">
        <f t="shared" si="2"/>
        <v>6.7240451855836471E-3</v>
      </c>
      <c r="S8" s="98">
        <f t="shared" si="3"/>
        <v>4.1455550437586369E-3</v>
      </c>
      <c r="T8" s="96">
        <f t="shared" si="4"/>
        <v>1.0262989095574085E-2</v>
      </c>
      <c r="U8" s="97">
        <f t="shared" si="5"/>
        <v>0.45066273932253315</v>
      </c>
      <c r="V8" s="98">
        <f t="shared" si="6"/>
        <v>0.43687374749498997</v>
      </c>
      <c r="W8" s="98">
        <f t="shared" si="7"/>
        <v>0.4838709677419355</v>
      </c>
      <c r="X8" s="98">
        <f t="shared" si="8"/>
        <v>2.9702970297029702E-2</v>
      </c>
      <c r="Y8" s="98">
        <f t="shared" si="9"/>
        <v>4.3975373790677225E-3</v>
      </c>
      <c r="Z8" s="98">
        <f t="shared" si="10"/>
        <v>2.7247956403269754E-3</v>
      </c>
      <c r="AA8" s="98">
        <f t="shared" si="11"/>
        <v>5.5555555555555552E-2</v>
      </c>
      <c r="AB8" s="98">
        <f t="shared" si="12"/>
        <v>0</v>
      </c>
    </row>
    <row r="9" spans="1:28" ht="16">
      <c r="A9" s="61" t="s">
        <v>205</v>
      </c>
      <c r="B9" s="87">
        <v>5</v>
      </c>
      <c r="C9" s="87">
        <v>24</v>
      </c>
      <c r="D9" s="87">
        <v>8</v>
      </c>
      <c r="E9" s="87">
        <v>16</v>
      </c>
      <c r="F9" s="87">
        <v>218</v>
      </c>
      <c r="G9" s="91">
        <v>218</v>
      </c>
      <c r="H9" s="87">
        <v>2</v>
      </c>
      <c r="I9" s="87">
        <v>3</v>
      </c>
      <c r="J9" s="87">
        <v>4</v>
      </c>
      <c r="K9" s="87">
        <v>1</v>
      </c>
      <c r="L9" s="87"/>
      <c r="M9" s="87"/>
      <c r="N9" s="78">
        <f t="shared" si="0"/>
        <v>499</v>
      </c>
      <c r="P9" s="104" t="s">
        <v>306</v>
      </c>
      <c r="Q9" s="99">
        <f t="shared" si="1"/>
        <v>1.5923566878980892E-2</v>
      </c>
      <c r="R9" s="98">
        <f t="shared" si="2"/>
        <v>6.4550833781603012E-3</v>
      </c>
      <c r="S9" s="98">
        <f t="shared" si="3"/>
        <v>3.6849378166743437E-3</v>
      </c>
      <c r="T9" s="96">
        <f t="shared" si="4"/>
        <v>1.0262989095574085E-2</v>
      </c>
      <c r="U9" s="98">
        <f t="shared" si="5"/>
        <v>0.32106038291605304</v>
      </c>
      <c r="V9" s="97">
        <f t="shared" si="6"/>
        <v>0.43687374749498997</v>
      </c>
      <c r="W9" s="98">
        <f t="shared" si="7"/>
        <v>1.0752688172043012E-2</v>
      </c>
      <c r="X9" s="98">
        <f t="shared" si="8"/>
        <v>2.9702970297029702E-2</v>
      </c>
      <c r="Y9" s="98">
        <f t="shared" si="9"/>
        <v>3.5180299032541778E-3</v>
      </c>
      <c r="Z9" s="98">
        <f t="shared" si="10"/>
        <v>2.7247956403269754E-3</v>
      </c>
      <c r="AA9" s="98">
        <f t="shared" si="11"/>
        <v>0</v>
      </c>
      <c r="AB9" s="98">
        <f t="shared" si="12"/>
        <v>0</v>
      </c>
    </row>
    <row r="10" spans="1:28" ht="16">
      <c r="A10" s="61" t="s">
        <v>206</v>
      </c>
      <c r="B10" s="87"/>
      <c r="C10" s="87">
        <v>1</v>
      </c>
      <c r="D10" s="87">
        <v>1</v>
      </c>
      <c r="E10" s="87"/>
      <c r="F10" s="87">
        <v>90</v>
      </c>
      <c r="G10" s="87">
        <v>2</v>
      </c>
      <c r="H10" s="91">
        <v>90</v>
      </c>
      <c r="I10" s="87"/>
      <c r="J10" s="87">
        <v>1</v>
      </c>
      <c r="K10" s="87"/>
      <c r="L10" s="87">
        <v>1</v>
      </c>
      <c r="M10" s="87"/>
      <c r="N10" s="78">
        <f t="shared" si="0"/>
        <v>186</v>
      </c>
      <c r="P10" s="104" t="s">
        <v>307</v>
      </c>
      <c r="Q10" s="99">
        <f t="shared" si="1"/>
        <v>0</v>
      </c>
      <c r="R10" s="98">
        <f t="shared" si="2"/>
        <v>2.6896180742334586E-4</v>
      </c>
      <c r="S10" s="98">
        <f t="shared" si="3"/>
        <v>4.6061722708429296E-4</v>
      </c>
      <c r="T10" s="96">
        <f t="shared" si="4"/>
        <v>0</v>
      </c>
      <c r="U10" s="98">
        <f t="shared" si="5"/>
        <v>0.13254786450662739</v>
      </c>
      <c r="V10" s="98">
        <f t="shared" si="6"/>
        <v>4.0080160320641279E-3</v>
      </c>
      <c r="W10" s="97">
        <f t="shared" si="7"/>
        <v>0.4838709677419355</v>
      </c>
      <c r="X10" s="98">
        <f t="shared" si="8"/>
        <v>0</v>
      </c>
      <c r="Y10" s="98">
        <f t="shared" si="9"/>
        <v>8.7950747581354446E-4</v>
      </c>
      <c r="Z10" s="98">
        <f t="shared" si="10"/>
        <v>0</v>
      </c>
      <c r="AA10" s="98">
        <f t="shared" si="11"/>
        <v>5.5555555555555552E-2</v>
      </c>
      <c r="AB10" s="98">
        <f t="shared" si="12"/>
        <v>0</v>
      </c>
    </row>
    <row r="11" spans="1:28" ht="16">
      <c r="A11" s="61" t="s">
        <v>207</v>
      </c>
      <c r="B11" s="87">
        <v>4</v>
      </c>
      <c r="C11" s="87">
        <v>6</v>
      </c>
      <c r="D11" s="87">
        <v>2</v>
      </c>
      <c r="E11" s="87">
        <v>4</v>
      </c>
      <c r="F11" s="87">
        <v>3</v>
      </c>
      <c r="G11" s="87">
        <v>3</v>
      </c>
      <c r="H11" s="87"/>
      <c r="I11" s="91">
        <v>75</v>
      </c>
      <c r="J11" s="87">
        <v>2</v>
      </c>
      <c r="K11" s="87">
        <v>2</v>
      </c>
      <c r="L11" s="87"/>
      <c r="M11" s="87"/>
      <c r="N11" s="78">
        <f t="shared" si="0"/>
        <v>101</v>
      </c>
      <c r="P11" s="104" t="s">
        <v>207</v>
      </c>
      <c r="Q11" s="99">
        <f t="shared" si="1"/>
        <v>1.2738853503184714E-2</v>
      </c>
      <c r="R11" s="98">
        <f t="shared" si="2"/>
        <v>1.6137708445400753E-3</v>
      </c>
      <c r="S11" s="98">
        <f t="shared" si="3"/>
        <v>9.2123445416858593E-4</v>
      </c>
      <c r="T11" s="96">
        <f t="shared" si="4"/>
        <v>2.5657472738935213E-3</v>
      </c>
      <c r="U11" s="98">
        <f t="shared" si="5"/>
        <v>4.418262150220913E-3</v>
      </c>
      <c r="V11" s="98">
        <f t="shared" si="6"/>
        <v>6.0120240480961923E-3</v>
      </c>
      <c r="W11" s="98">
        <f t="shared" si="7"/>
        <v>0</v>
      </c>
      <c r="X11" s="97">
        <f t="shared" si="8"/>
        <v>0.74257425742574257</v>
      </c>
      <c r="Y11" s="98">
        <f t="shared" si="9"/>
        <v>1.7590149516270889E-3</v>
      </c>
      <c r="Z11" s="98">
        <f t="shared" si="10"/>
        <v>5.4495912806539508E-3</v>
      </c>
      <c r="AA11" s="98">
        <f t="shared" si="11"/>
        <v>0</v>
      </c>
      <c r="AB11" s="98">
        <f t="shared" si="12"/>
        <v>0</v>
      </c>
    </row>
    <row r="12" spans="1:28" ht="16">
      <c r="A12" s="61" t="s">
        <v>208</v>
      </c>
      <c r="B12" s="87">
        <v>6</v>
      </c>
      <c r="C12" s="87">
        <v>105</v>
      </c>
      <c r="D12" s="87">
        <v>100</v>
      </c>
      <c r="E12" s="87">
        <v>5</v>
      </c>
      <c r="F12" s="87">
        <v>5</v>
      </c>
      <c r="G12" s="87">
        <v>4</v>
      </c>
      <c r="H12" s="87">
        <v>1</v>
      </c>
      <c r="I12" s="87">
        <v>2</v>
      </c>
      <c r="J12" s="91">
        <v>889</v>
      </c>
      <c r="K12" s="87">
        <v>20</v>
      </c>
      <c r="L12" s="87"/>
      <c r="M12" s="87"/>
      <c r="N12" s="78">
        <f t="shared" si="0"/>
        <v>1137</v>
      </c>
      <c r="P12" s="104" t="s">
        <v>208</v>
      </c>
      <c r="Q12" s="99">
        <f t="shared" si="1"/>
        <v>1.9108280254777069E-2</v>
      </c>
      <c r="R12" s="98">
        <f t="shared" si="2"/>
        <v>2.8240989779451317E-2</v>
      </c>
      <c r="S12" s="98">
        <f t="shared" si="3"/>
        <v>4.6061722708429294E-2</v>
      </c>
      <c r="T12" s="96">
        <f t="shared" si="4"/>
        <v>3.207184092366902E-3</v>
      </c>
      <c r="U12" s="98">
        <f t="shared" si="5"/>
        <v>7.3637702503681884E-3</v>
      </c>
      <c r="V12" s="98">
        <f t="shared" si="6"/>
        <v>8.0160320641282558E-3</v>
      </c>
      <c r="W12" s="98">
        <f t="shared" si="7"/>
        <v>5.3763440860215058E-3</v>
      </c>
      <c r="X12" s="98">
        <f t="shared" si="8"/>
        <v>1.9801980198019802E-2</v>
      </c>
      <c r="Y12" s="97">
        <f t="shared" si="9"/>
        <v>0.78188214599824102</v>
      </c>
      <c r="Z12" s="98">
        <f t="shared" si="10"/>
        <v>5.4495912806539509E-2</v>
      </c>
      <c r="AA12" s="98">
        <f t="shared" si="11"/>
        <v>0</v>
      </c>
      <c r="AB12" s="98">
        <f t="shared" si="12"/>
        <v>0</v>
      </c>
    </row>
    <row r="13" spans="1:28" ht="16">
      <c r="A13" s="61" t="s">
        <v>214</v>
      </c>
      <c r="B13" s="87">
        <v>4</v>
      </c>
      <c r="C13" s="87">
        <v>10</v>
      </c>
      <c r="D13" s="87">
        <v>10</v>
      </c>
      <c r="E13" s="87"/>
      <c r="F13" s="87">
        <v>1</v>
      </c>
      <c r="G13" s="87">
        <v>1</v>
      </c>
      <c r="H13" s="87"/>
      <c r="I13" s="87">
        <v>2</v>
      </c>
      <c r="J13" s="87">
        <v>20</v>
      </c>
      <c r="K13" s="91">
        <v>319</v>
      </c>
      <c r="L13" s="87"/>
      <c r="M13" s="87"/>
      <c r="N13" s="78">
        <f t="shared" si="0"/>
        <v>367</v>
      </c>
      <c r="P13" s="104" t="s">
        <v>214</v>
      </c>
      <c r="Q13" s="99">
        <f t="shared" si="1"/>
        <v>1.2738853503184714E-2</v>
      </c>
      <c r="R13" s="98">
        <f t="shared" si="2"/>
        <v>2.6896180742334587E-3</v>
      </c>
      <c r="S13" s="98">
        <f t="shared" si="3"/>
        <v>4.6061722708429292E-3</v>
      </c>
      <c r="T13" s="96">
        <f t="shared" si="4"/>
        <v>0</v>
      </c>
      <c r="U13" s="98">
        <f t="shared" si="5"/>
        <v>1.4727540500736377E-3</v>
      </c>
      <c r="V13" s="98">
        <f t="shared" si="6"/>
        <v>2.004008016032064E-3</v>
      </c>
      <c r="W13" s="98">
        <f t="shared" si="7"/>
        <v>0</v>
      </c>
      <c r="X13" s="98">
        <f t="shared" si="8"/>
        <v>1.9801980198019802E-2</v>
      </c>
      <c r="Y13" s="98">
        <f t="shared" si="9"/>
        <v>1.759014951627089E-2</v>
      </c>
      <c r="Z13" s="97">
        <f t="shared" si="10"/>
        <v>0.86920980926430513</v>
      </c>
      <c r="AA13" s="98">
        <f t="shared" si="11"/>
        <v>0</v>
      </c>
      <c r="AB13" s="98">
        <f t="shared" si="12"/>
        <v>0</v>
      </c>
    </row>
    <row r="14" spans="1:28" ht="16">
      <c r="A14" s="61" t="s">
        <v>215</v>
      </c>
      <c r="B14" s="87">
        <v>1</v>
      </c>
      <c r="C14" s="87"/>
      <c r="D14" s="87"/>
      <c r="E14" s="87"/>
      <c r="F14" s="87">
        <v>1</v>
      </c>
      <c r="G14" s="87"/>
      <c r="H14" s="87">
        <v>1</v>
      </c>
      <c r="I14" s="87"/>
      <c r="J14" s="87"/>
      <c r="K14" s="87"/>
      <c r="L14" s="91">
        <v>15</v>
      </c>
      <c r="M14" s="87"/>
      <c r="N14" s="78">
        <f t="shared" si="0"/>
        <v>18</v>
      </c>
      <c r="P14" s="104" t="s">
        <v>215</v>
      </c>
      <c r="Q14" s="99">
        <f t="shared" si="1"/>
        <v>3.1847133757961785E-3</v>
      </c>
      <c r="R14" s="98">
        <f t="shared" si="2"/>
        <v>0</v>
      </c>
      <c r="S14" s="98">
        <f t="shared" si="3"/>
        <v>0</v>
      </c>
      <c r="T14" s="96">
        <f t="shared" si="4"/>
        <v>0</v>
      </c>
      <c r="U14" s="98">
        <f t="shared" si="5"/>
        <v>1.4727540500736377E-3</v>
      </c>
      <c r="V14" s="98">
        <f t="shared" si="6"/>
        <v>0</v>
      </c>
      <c r="W14" s="98">
        <f t="shared" si="7"/>
        <v>5.3763440860215058E-3</v>
      </c>
      <c r="X14" s="98">
        <f t="shared" si="8"/>
        <v>0</v>
      </c>
      <c r="Y14" s="98">
        <f t="shared" si="9"/>
        <v>0</v>
      </c>
      <c r="Z14" s="98">
        <f t="shared" si="10"/>
        <v>0</v>
      </c>
      <c r="AA14" s="97">
        <f t="shared" si="11"/>
        <v>0.83333333333333337</v>
      </c>
      <c r="AB14" s="98">
        <f t="shared" si="12"/>
        <v>0</v>
      </c>
    </row>
    <row r="15" spans="1:28" ht="33" thickBot="1">
      <c r="A15" s="61" t="s">
        <v>216</v>
      </c>
      <c r="B15" s="87"/>
      <c r="C15" s="87"/>
      <c r="D15" s="87"/>
      <c r="E15" s="94"/>
      <c r="F15" s="87"/>
      <c r="G15" s="87"/>
      <c r="H15" s="87"/>
      <c r="I15" s="87"/>
      <c r="J15" s="87"/>
      <c r="K15" s="87"/>
      <c r="L15" s="87"/>
      <c r="M15" s="91">
        <v>8</v>
      </c>
      <c r="N15" s="78">
        <f t="shared" si="0"/>
        <v>8</v>
      </c>
      <c r="P15" s="104" t="s">
        <v>308</v>
      </c>
      <c r="Q15" s="100">
        <f t="shared" si="1"/>
        <v>0</v>
      </c>
      <c r="R15" s="101">
        <f t="shared" si="2"/>
        <v>0</v>
      </c>
      <c r="S15" s="101">
        <f t="shared" si="3"/>
        <v>0</v>
      </c>
      <c r="T15" s="103">
        <f t="shared" si="4"/>
        <v>0</v>
      </c>
      <c r="U15" s="101">
        <f t="shared" si="5"/>
        <v>0</v>
      </c>
      <c r="V15" s="101">
        <f t="shared" si="6"/>
        <v>0</v>
      </c>
      <c r="W15" s="101">
        <f t="shared" si="7"/>
        <v>0</v>
      </c>
      <c r="X15" s="101">
        <f t="shared" si="8"/>
        <v>0</v>
      </c>
      <c r="Y15" s="101">
        <f t="shared" si="9"/>
        <v>0</v>
      </c>
      <c r="Z15" s="101">
        <f t="shared" si="10"/>
        <v>0</v>
      </c>
      <c r="AA15" s="101">
        <f t="shared" si="11"/>
        <v>0</v>
      </c>
      <c r="AB15" s="102">
        <f t="shared" si="12"/>
        <v>1</v>
      </c>
    </row>
    <row r="16" spans="1:28" ht="15">
      <c r="A16" s="88"/>
      <c r="B16" s="89">
        <f>SUM(B4:B15)</f>
        <v>314</v>
      </c>
      <c r="C16" s="89">
        <f t="shared" ref="C16:M16" si="13">SUM(C4:C15)</f>
        <v>3718</v>
      </c>
      <c r="D16" s="89">
        <f t="shared" si="13"/>
        <v>2171</v>
      </c>
      <c r="E16" s="89">
        <f t="shared" si="13"/>
        <v>1559</v>
      </c>
      <c r="F16" s="89">
        <f t="shared" si="13"/>
        <v>679</v>
      </c>
      <c r="G16" s="89">
        <f t="shared" si="13"/>
        <v>499</v>
      </c>
      <c r="H16" s="89">
        <f t="shared" si="13"/>
        <v>186</v>
      </c>
      <c r="I16" s="89">
        <f t="shared" si="13"/>
        <v>101</v>
      </c>
      <c r="J16" s="89">
        <f t="shared" si="13"/>
        <v>1137</v>
      </c>
      <c r="K16" s="89">
        <f t="shared" si="13"/>
        <v>367</v>
      </c>
      <c r="L16" s="89">
        <f t="shared" si="13"/>
        <v>18</v>
      </c>
      <c r="M16" s="89">
        <f t="shared" si="13"/>
        <v>8</v>
      </c>
      <c r="P16" s="88" t="s">
        <v>303</v>
      </c>
      <c r="Q16" s="89">
        <v>314</v>
      </c>
      <c r="R16" s="89">
        <v>3718</v>
      </c>
      <c r="S16" s="89">
        <v>2171</v>
      </c>
      <c r="T16" s="89">
        <v>1559</v>
      </c>
      <c r="U16" s="89">
        <v>679</v>
      </c>
      <c r="V16" s="89">
        <v>499</v>
      </c>
      <c r="W16" s="89">
        <v>186</v>
      </c>
      <c r="X16" s="89">
        <v>101</v>
      </c>
      <c r="Y16" s="89">
        <v>1137</v>
      </c>
      <c r="Z16" s="89">
        <v>367</v>
      </c>
      <c r="AA16" s="89">
        <v>18</v>
      </c>
      <c r="AB16" s="89">
        <v>8</v>
      </c>
    </row>
    <row r="17" spans="1:28" ht="26">
      <c r="B17" s="84" t="str">
        <f>Table_4.0_Information!$A$5</f>
        <v>Kentucky</v>
      </c>
      <c r="C17" s="84"/>
      <c r="D17" s="84"/>
      <c r="E17" s="84"/>
      <c r="F17" s="84"/>
      <c r="G17" s="84"/>
      <c r="H17" s="84"/>
      <c r="I17" s="84"/>
      <c r="J17" s="84"/>
      <c r="K17" s="84"/>
      <c r="L17" s="84"/>
      <c r="M17" s="84"/>
      <c r="P17" s="296" t="s">
        <v>59</v>
      </c>
      <c r="Q17" s="296"/>
      <c r="R17" s="296"/>
      <c r="S17" s="296"/>
      <c r="T17" s="296"/>
      <c r="U17" s="296"/>
      <c r="V17" s="296"/>
      <c r="W17" s="296"/>
      <c r="X17" s="296"/>
      <c r="Y17" s="296"/>
      <c r="Z17" s="296"/>
      <c r="AA17" s="296"/>
      <c r="AB17" s="296"/>
    </row>
    <row r="18" spans="1:28" ht="48">
      <c r="A18" s="58" t="s">
        <v>199</v>
      </c>
      <c r="B18" s="93" t="s">
        <v>200</v>
      </c>
      <c r="C18" s="93" t="s">
        <v>201</v>
      </c>
      <c r="D18" s="92" t="s">
        <v>212</v>
      </c>
      <c r="E18" s="93" t="s">
        <v>213</v>
      </c>
      <c r="F18" s="93" t="s">
        <v>204</v>
      </c>
      <c r="G18" s="93" t="s">
        <v>205</v>
      </c>
      <c r="H18" s="93" t="s">
        <v>206</v>
      </c>
      <c r="I18" s="93" t="s">
        <v>207</v>
      </c>
      <c r="J18" s="93" t="s">
        <v>208</v>
      </c>
      <c r="K18" s="93" t="s">
        <v>214</v>
      </c>
      <c r="L18" s="93" t="s">
        <v>215</v>
      </c>
      <c r="M18" s="93" t="s">
        <v>216</v>
      </c>
      <c r="P18" s="58"/>
      <c r="Q18" s="93" t="s">
        <v>200</v>
      </c>
      <c r="R18" s="93" t="s">
        <v>201</v>
      </c>
      <c r="S18" s="92" t="s">
        <v>304</v>
      </c>
      <c r="T18" s="93" t="s">
        <v>305</v>
      </c>
      <c r="U18" s="93" t="s">
        <v>204</v>
      </c>
      <c r="V18" s="93" t="s">
        <v>306</v>
      </c>
      <c r="W18" s="93" t="s">
        <v>307</v>
      </c>
      <c r="X18" s="93" t="s">
        <v>207</v>
      </c>
      <c r="Y18" s="93" t="s">
        <v>208</v>
      </c>
      <c r="Z18" s="93" t="s">
        <v>214</v>
      </c>
      <c r="AA18" s="93" t="s">
        <v>215</v>
      </c>
      <c r="AB18" s="93" t="s">
        <v>308</v>
      </c>
    </row>
    <row r="19" spans="1:28" ht="16">
      <c r="A19" s="61" t="s">
        <v>200</v>
      </c>
      <c r="B19" s="83">
        <v>637</v>
      </c>
      <c r="C19" s="62">
        <v>34</v>
      </c>
      <c r="D19" s="62">
        <v>20</v>
      </c>
      <c r="E19" s="62">
        <v>14</v>
      </c>
      <c r="F19" s="62">
        <v>37</v>
      </c>
      <c r="G19" s="62">
        <v>36</v>
      </c>
      <c r="H19" s="62" t="s">
        <v>255</v>
      </c>
      <c r="I19" s="62">
        <v>7</v>
      </c>
      <c r="J19" s="62">
        <v>28</v>
      </c>
      <c r="K19" s="62" t="s">
        <v>255</v>
      </c>
      <c r="L19" s="62" t="s">
        <v>255</v>
      </c>
      <c r="M19" s="62"/>
      <c r="N19" s="78">
        <f t="shared" ref="N19:N30" si="14">SUM(B19:M19)</f>
        <v>813</v>
      </c>
      <c r="P19" s="104" t="s">
        <v>200</v>
      </c>
      <c r="Q19" s="97">
        <f>B19/813</f>
        <v>0.78351783517835183</v>
      </c>
      <c r="R19" s="98">
        <f>C19/34731</f>
        <v>9.7895252080274116E-4</v>
      </c>
      <c r="S19" s="98">
        <f>D19/9308</f>
        <v>2.1486892995272885E-3</v>
      </c>
      <c r="T19" s="98">
        <f>E19/25639</f>
        <v>5.4604313740785524E-4</v>
      </c>
      <c r="U19" s="98">
        <f>F19/3933</f>
        <v>9.4075769132977369E-3</v>
      </c>
      <c r="V19" s="98">
        <f>G19/3484</f>
        <v>1.0332950631458095E-2</v>
      </c>
      <c r="W19" s="98" t="s">
        <v>255</v>
      </c>
      <c r="X19" s="98">
        <f>I19/426</f>
        <v>1.6431924882629109E-2</v>
      </c>
      <c r="Y19" s="98">
        <f>J19/3339</f>
        <v>8.385744234800839E-3</v>
      </c>
      <c r="Z19" s="98" t="s">
        <v>255</v>
      </c>
      <c r="AA19" s="98" t="s">
        <v>255</v>
      </c>
      <c r="AB19" s="98">
        <f>M19/51</f>
        <v>0</v>
      </c>
    </row>
    <row r="20" spans="1:28" ht="16">
      <c r="A20" s="61" t="s">
        <v>201</v>
      </c>
      <c r="B20" s="62">
        <v>34</v>
      </c>
      <c r="C20" s="83">
        <v>16804</v>
      </c>
      <c r="D20" s="62">
        <v>4341</v>
      </c>
      <c r="E20" s="62">
        <v>12535</v>
      </c>
      <c r="F20" s="62">
        <v>247</v>
      </c>
      <c r="G20" s="62">
        <v>247</v>
      </c>
      <c r="H20" s="62"/>
      <c r="I20" s="62">
        <v>58</v>
      </c>
      <c r="J20" s="62">
        <v>441</v>
      </c>
      <c r="K20" s="62">
        <v>24</v>
      </c>
      <c r="L20" s="62"/>
      <c r="M20" s="62" t="s">
        <v>255</v>
      </c>
      <c r="N20" s="78">
        <f t="shared" si="14"/>
        <v>34731</v>
      </c>
      <c r="P20" s="104" t="s">
        <v>201</v>
      </c>
      <c r="Q20" s="99">
        <f t="shared" ref="Q20:Q30" si="15">B20/813</f>
        <v>4.1820418204182044E-2</v>
      </c>
      <c r="R20" s="97">
        <f t="shared" ref="R20:R29" si="16">C20/34731</f>
        <v>0.48383288704615474</v>
      </c>
      <c r="S20" s="98">
        <f t="shared" ref="S20:S29" si="17">D20/9308</f>
        <v>0.46637301246239793</v>
      </c>
      <c r="T20" s="98">
        <f t="shared" ref="T20:T30" si="18">E20/25639</f>
        <v>0.48890362338624749</v>
      </c>
      <c r="U20" s="98">
        <f t="shared" ref="U20:U27" si="19">F20/3933</f>
        <v>6.280193236714976E-2</v>
      </c>
      <c r="V20" s="98">
        <f t="shared" ref="V20:V27" si="20">G20/3484</f>
        <v>7.0895522388059698E-2</v>
      </c>
      <c r="W20" s="98">
        <f t="shared" ref="W20:W30" si="21">H20/452</f>
        <v>0</v>
      </c>
      <c r="X20" s="98">
        <f t="shared" ref="X20:X30" si="22">I20/426</f>
        <v>0.13615023474178403</v>
      </c>
      <c r="Y20" s="98">
        <f t="shared" ref="Y20:Y30" si="23">J20/3339</f>
        <v>0.13207547169811321</v>
      </c>
      <c r="Z20" s="98">
        <f t="shared" ref="Z20:Z29" si="24">K20/630</f>
        <v>3.8095238095238099E-2</v>
      </c>
      <c r="AA20" s="98">
        <f t="shared" ref="AA20:AA30" si="25">L20/28</f>
        <v>0</v>
      </c>
      <c r="AB20" s="98" t="s">
        <v>255</v>
      </c>
    </row>
    <row r="21" spans="1:28" ht="32">
      <c r="A21" s="63" t="s">
        <v>212</v>
      </c>
      <c r="B21" s="62">
        <v>20</v>
      </c>
      <c r="C21" s="62">
        <v>4341</v>
      </c>
      <c r="D21" s="83">
        <v>4341</v>
      </c>
      <c r="E21" s="62">
        <v>72</v>
      </c>
      <c r="F21" s="62">
        <v>84</v>
      </c>
      <c r="G21" s="62">
        <v>84</v>
      </c>
      <c r="H21" s="62"/>
      <c r="I21" s="62">
        <v>16</v>
      </c>
      <c r="J21" s="62">
        <v>340</v>
      </c>
      <c r="K21" s="62">
        <v>10</v>
      </c>
      <c r="L21" s="62"/>
      <c r="M21" s="62" t="s">
        <v>255</v>
      </c>
      <c r="N21" s="78">
        <f t="shared" si="14"/>
        <v>9308</v>
      </c>
      <c r="P21" s="63" t="s">
        <v>304</v>
      </c>
      <c r="Q21" s="99">
        <f t="shared" si="15"/>
        <v>2.4600246002460024E-2</v>
      </c>
      <c r="R21" s="98">
        <f t="shared" si="16"/>
        <v>0.12498920272954997</v>
      </c>
      <c r="S21" s="97">
        <f t="shared" si="17"/>
        <v>0.46637301246239793</v>
      </c>
      <c r="T21" s="98">
        <f t="shared" si="18"/>
        <v>2.8082218495261127E-3</v>
      </c>
      <c r="U21" s="98">
        <f t="shared" si="19"/>
        <v>2.1357742181540809E-2</v>
      </c>
      <c r="V21" s="98">
        <f t="shared" si="20"/>
        <v>2.4110218140068886E-2</v>
      </c>
      <c r="W21" s="98">
        <f t="shared" si="21"/>
        <v>0</v>
      </c>
      <c r="X21" s="98">
        <f t="shared" si="22"/>
        <v>3.7558685446009391E-2</v>
      </c>
      <c r="Y21" s="98">
        <f t="shared" si="23"/>
        <v>0.10182689427972447</v>
      </c>
      <c r="Z21" s="98">
        <f t="shared" si="24"/>
        <v>1.5873015873015872E-2</v>
      </c>
      <c r="AA21" s="98">
        <f t="shared" si="25"/>
        <v>0</v>
      </c>
      <c r="AB21" s="98" t="s">
        <v>255</v>
      </c>
    </row>
    <row r="22" spans="1:28" ht="16">
      <c r="A22" s="61" t="s">
        <v>213</v>
      </c>
      <c r="B22" s="62">
        <v>14</v>
      </c>
      <c r="C22" s="62">
        <v>12535</v>
      </c>
      <c r="D22" s="62">
        <v>72</v>
      </c>
      <c r="E22" s="83">
        <v>12535</v>
      </c>
      <c r="F22" s="62">
        <v>163</v>
      </c>
      <c r="G22" s="62">
        <v>163</v>
      </c>
      <c r="H22" s="62"/>
      <c r="I22" s="62">
        <v>42</v>
      </c>
      <c r="J22" s="62">
        <v>101</v>
      </c>
      <c r="K22" s="62">
        <v>14</v>
      </c>
      <c r="L22" s="62"/>
      <c r="M22" s="62"/>
      <c r="N22" s="78">
        <f t="shared" si="14"/>
        <v>25639</v>
      </c>
      <c r="P22" s="104" t="s">
        <v>305</v>
      </c>
      <c r="Q22" s="99">
        <f t="shared" si="15"/>
        <v>1.7220172201722016E-2</v>
      </c>
      <c r="R22" s="98">
        <f t="shared" si="16"/>
        <v>0.36091676024301056</v>
      </c>
      <c r="S22" s="98">
        <f t="shared" si="17"/>
        <v>7.7352814782982379E-3</v>
      </c>
      <c r="T22" s="97">
        <f t="shared" si="18"/>
        <v>0.48890362338624749</v>
      </c>
      <c r="U22" s="98">
        <f t="shared" si="19"/>
        <v>4.1444190185608951E-2</v>
      </c>
      <c r="V22" s="98">
        <f t="shared" si="20"/>
        <v>4.6785304247990815E-2</v>
      </c>
      <c r="W22" s="98">
        <f t="shared" si="21"/>
        <v>0</v>
      </c>
      <c r="X22" s="98">
        <f t="shared" si="22"/>
        <v>9.8591549295774641E-2</v>
      </c>
      <c r="Y22" s="98">
        <f t="shared" si="23"/>
        <v>3.0248577418388739E-2</v>
      </c>
      <c r="Z22" s="98">
        <f t="shared" si="24"/>
        <v>2.2222222222222223E-2</v>
      </c>
      <c r="AA22" s="98">
        <f t="shared" si="25"/>
        <v>0</v>
      </c>
      <c r="AB22" s="98">
        <f t="shared" ref="AB22:AB30" si="26">M22/51</f>
        <v>0</v>
      </c>
    </row>
    <row r="23" spans="1:28" ht="16">
      <c r="A23" s="61" t="s">
        <v>204</v>
      </c>
      <c r="B23" s="62">
        <v>37</v>
      </c>
      <c r="C23" s="62">
        <v>247</v>
      </c>
      <c r="D23" s="62">
        <v>84</v>
      </c>
      <c r="E23" s="62">
        <v>163</v>
      </c>
      <c r="F23" s="83">
        <v>1659</v>
      </c>
      <c r="G23" s="62">
        <v>1437</v>
      </c>
      <c r="H23" s="62">
        <v>226</v>
      </c>
      <c r="I23" s="62">
        <v>20</v>
      </c>
      <c r="J23" s="62">
        <v>60</v>
      </c>
      <c r="K23" s="62" t="s">
        <v>255</v>
      </c>
      <c r="L23" s="62" t="s">
        <v>255</v>
      </c>
      <c r="M23" s="62" t="s">
        <v>255</v>
      </c>
      <c r="N23" s="78">
        <f t="shared" si="14"/>
        <v>3933</v>
      </c>
      <c r="P23" s="104" t="s">
        <v>204</v>
      </c>
      <c r="Q23" s="99">
        <f t="shared" si="15"/>
        <v>4.5510455104551047E-2</v>
      </c>
      <c r="R23" s="98">
        <f t="shared" si="16"/>
        <v>7.1118021364199131E-3</v>
      </c>
      <c r="S23" s="98">
        <f t="shared" si="17"/>
        <v>9.0244950580146109E-3</v>
      </c>
      <c r="T23" s="98">
        <f t="shared" si="18"/>
        <v>6.3575022426771719E-3</v>
      </c>
      <c r="U23" s="97">
        <f t="shared" si="19"/>
        <v>0.42181540808543094</v>
      </c>
      <c r="V23" s="98">
        <f t="shared" si="20"/>
        <v>0.4124569460390356</v>
      </c>
      <c r="W23" s="98">
        <f t="shared" si="21"/>
        <v>0.5</v>
      </c>
      <c r="X23" s="98">
        <f t="shared" si="22"/>
        <v>4.6948356807511735E-2</v>
      </c>
      <c r="Y23" s="98">
        <f t="shared" si="23"/>
        <v>1.7969451931716084E-2</v>
      </c>
      <c r="Z23" s="98" t="s">
        <v>255</v>
      </c>
      <c r="AA23" s="98" t="s">
        <v>255</v>
      </c>
      <c r="AB23" s="98" t="s">
        <v>255</v>
      </c>
    </row>
    <row r="24" spans="1:28" ht="16">
      <c r="A24" s="61" t="s">
        <v>205</v>
      </c>
      <c r="B24" s="62">
        <v>36</v>
      </c>
      <c r="C24" s="62">
        <v>247</v>
      </c>
      <c r="D24" s="62">
        <v>84</v>
      </c>
      <c r="E24" s="62">
        <v>163</v>
      </c>
      <c r="F24" s="62">
        <v>1437</v>
      </c>
      <c r="G24" s="83">
        <v>1437</v>
      </c>
      <c r="H24" s="62" t="s">
        <v>255</v>
      </c>
      <c r="I24" s="62">
        <v>20</v>
      </c>
      <c r="J24" s="62">
        <v>60</v>
      </c>
      <c r="K24" s="62" t="s">
        <v>255</v>
      </c>
      <c r="L24" s="62" t="s">
        <v>255</v>
      </c>
      <c r="M24" s="62" t="s">
        <v>255</v>
      </c>
      <c r="N24" s="78">
        <f t="shared" si="14"/>
        <v>3484</v>
      </c>
      <c r="P24" s="104" t="s">
        <v>306</v>
      </c>
      <c r="Q24" s="99">
        <f t="shared" si="15"/>
        <v>4.4280442804428041E-2</v>
      </c>
      <c r="R24" s="98">
        <f t="shared" si="16"/>
        <v>7.1118021364199131E-3</v>
      </c>
      <c r="S24" s="98">
        <f t="shared" si="17"/>
        <v>9.0244950580146109E-3</v>
      </c>
      <c r="T24" s="98">
        <f t="shared" si="18"/>
        <v>6.3575022426771719E-3</v>
      </c>
      <c r="U24" s="98">
        <f t="shared" si="19"/>
        <v>0.36536994660564454</v>
      </c>
      <c r="V24" s="97">
        <f t="shared" si="20"/>
        <v>0.4124569460390356</v>
      </c>
      <c r="W24" s="98" t="s">
        <v>255</v>
      </c>
      <c r="X24" s="98">
        <f t="shared" si="22"/>
        <v>4.6948356807511735E-2</v>
      </c>
      <c r="Y24" s="98">
        <f t="shared" si="23"/>
        <v>1.7969451931716084E-2</v>
      </c>
      <c r="Z24" s="98" t="s">
        <v>255</v>
      </c>
      <c r="AA24" s="98" t="s">
        <v>255</v>
      </c>
      <c r="AB24" s="98" t="s">
        <v>255</v>
      </c>
    </row>
    <row r="25" spans="1:28" ht="16">
      <c r="A25" s="61" t="s">
        <v>206</v>
      </c>
      <c r="B25" s="62" t="s">
        <v>255</v>
      </c>
      <c r="C25" s="62"/>
      <c r="D25" s="62"/>
      <c r="E25" s="62"/>
      <c r="F25" s="62">
        <v>226</v>
      </c>
      <c r="G25" s="62" t="s">
        <v>255</v>
      </c>
      <c r="H25" s="83">
        <v>226</v>
      </c>
      <c r="I25" s="62"/>
      <c r="J25" s="62"/>
      <c r="K25" s="62"/>
      <c r="L25" s="62"/>
      <c r="M25" s="62"/>
      <c r="N25" s="78">
        <f t="shared" si="14"/>
        <v>452</v>
      </c>
      <c r="P25" s="104" t="s">
        <v>307</v>
      </c>
      <c r="Q25" s="99" t="s">
        <v>255</v>
      </c>
      <c r="R25" s="98">
        <f t="shared" si="16"/>
        <v>0</v>
      </c>
      <c r="S25" s="98">
        <f t="shared" si="17"/>
        <v>0</v>
      </c>
      <c r="T25" s="98">
        <f t="shared" si="18"/>
        <v>0</v>
      </c>
      <c r="U25" s="98">
        <f t="shared" si="19"/>
        <v>5.7462496821764554E-2</v>
      </c>
      <c r="V25" s="98" t="s">
        <v>255</v>
      </c>
      <c r="W25" s="97">
        <f t="shared" si="21"/>
        <v>0.5</v>
      </c>
      <c r="X25" s="98">
        <f t="shared" si="22"/>
        <v>0</v>
      </c>
      <c r="Y25" s="98">
        <f t="shared" si="23"/>
        <v>0</v>
      </c>
      <c r="Z25" s="98">
        <f t="shared" si="24"/>
        <v>0</v>
      </c>
      <c r="AA25" s="98">
        <f t="shared" si="25"/>
        <v>0</v>
      </c>
      <c r="AB25" s="98">
        <f t="shared" si="26"/>
        <v>0</v>
      </c>
    </row>
    <row r="26" spans="1:28" ht="16">
      <c r="A26" s="61" t="s">
        <v>207</v>
      </c>
      <c r="B26" s="62">
        <v>7</v>
      </c>
      <c r="C26" s="62">
        <v>58</v>
      </c>
      <c r="D26" s="62">
        <v>16</v>
      </c>
      <c r="E26" s="62">
        <v>42</v>
      </c>
      <c r="F26" s="62">
        <v>20</v>
      </c>
      <c r="G26" s="62">
        <v>20</v>
      </c>
      <c r="H26" s="62"/>
      <c r="I26" s="83">
        <v>248</v>
      </c>
      <c r="J26" s="62">
        <v>15</v>
      </c>
      <c r="K26" s="62" t="s">
        <v>255</v>
      </c>
      <c r="L26" s="62" t="s">
        <v>255</v>
      </c>
      <c r="M26" s="62"/>
      <c r="N26" s="78">
        <f t="shared" si="14"/>
        <v>426</v>
      </c>
      <c r="P26" s="104" t="s">
        <v>207</v>
      </c>
      <c r="Q26" s="99">
        <f t="shared" si="15"/>
        <v>8.6100861008610082E-3</v>
      </c>
      <c r="R26" s="98">
        <f t="shared" si="16"/>
        <v>1.669977829604676E-3</v>
      </c>
      <c r="S26" s="98">
        <f t="shared" si="17"/>
        <v>1.7189514396218307E-3</v>
      </c>
      <c r="T26" s="98">
        <f t="shared" si="18"/>
        <v>1.6381294122235657E-3</v>
      </c>
      <c r="U26" s="98">
        <f t="shared" si="19"/>
        <v>5.0851767098906691E-3</v>
      </c>
      <c r="V26" s="98">
        <f t="shared" si="20"/>
        <v>5.7405281285878304E-3</v>
      </c>
      <c r="W26" s="98">
        <f t="shared" si="21"/>
        <v>0</v>
      </c>
      <c r="X26" s="97">
        <f t="shared" si="22"/>
        <v>0.5821596244131455</v>
      </c>
      <c r="Y26" s="98">
        <f t="shared" si="23"/>
        <v>4.4923629829290209E-3</v>
      </c>
      <c r="Z26" s="98" t="s">
        <v>255</v>
      </c>
      <c r="AA26" s="98" t="s">
        <v>255</v>
      </c>
      <c r="AB26" s="98">
        <f t="shared" si="26"/>
        <v>0</v>
      </c>
    </row>
    <row r="27" spans="1:28" ht="16">
      <c r="A27" s="61" t="s">
        <v>208</v>
      </c>
      <c r="B27" s="62">
        <v>28</v>
      </c>
      <c r="C27" s="62">
        <v>441</v>
      </c>
      <c r="D27" s="62">
        <v>340</v>
      </c>
      <c r="E27" s="62">
        <v>101</v>
      </c>
      <c r="F27" s="62">
        <v>60</v>
      </c>
      <c r="G27" s="62">
        <v>60</v>
      </c>
      <c r="H27" s="62"/>
      <c r="I27" s="62">
        <v>15</v>
      </c>
      <c r="J27" s="83">
        <v>2259</v>
      </c>
      <c r="K27" s="62">
        <v>30</v>
      </c>
      <c r="L27" s="62"/>
      <c r="M27" s="62">
        <v>5</v>
      </c>
      <c r="N27" s="78">
        <f t="shared" si="14"/>
        <v>3339</v>
      </c>
      <c r="P27" s="104" t="s">
        <v>208</v>
      </c>
      <c r="Q27" s="99">
        <f t="shared" si="15"/>
        <v>3.4440344403444033E-2</v>
      </c>
      <c r="R27" s="98">
        <f t="shared" si="16"/>
        <v>1.2697590049235553E-2</v>
      </c>
      <c r="S27" s="98">
        <f t="shared" si="17"/>
        <v>3.6527718091963902E-2</v>
      </c>
      <c r="T27" s="98">
        <f t="shared" si="18"/>
        <v>3.9393112055852416E-3</v>
      </c>
      <c r="U27" s="98">
        <f t="shared" si="19"/>
        <v>1.5255530129672006E-2</v>
      </c>
      <c r="V27" s="98">
        <f t="shared" si="20"/>
        <v>1.7221584385763489E-2</v>
      </c>
      <c r="W27" s="98">
        <f t="shared" si="21"/>
        <v>0</v>
      </c>
      <c r="X27" s="98">
        <f t="shared" si="22"/>
        <v>3.5211267605633804E-2</v>
      </c>
      <c r="Y27" s="97">
        <f t="shared" si="23"/>
        <v>0.67654986522911054</v>
      </c>
      <c r="Z27" s="98">
        <f t="shared" si="24"/>
        <v>4.7619047619047616E-2</v>
      </c>
      <c r="AA27" s="98">
        <f t="shared" si="25"/>
        <v>0</v>
      </c>
      <c r="AB27" s="98">
        <f t="shared" si="26"/>
        <v>9.8039215686274508E-2</v>
      </c>
    </row>
    <row r="28" spans="1:28" ht="16">
      <c r="A28" s="61" t="s">
        <v>214</v>
      </c>
      <c r="B28" s="62" t="s">
        <v>255</v>
      </c>
      <c r="C28" s="62">
        <v>24</v>
      </c>
      <c r="D28" s="62">
        <v>10</v>
      </c>
      <c r="E28" s="62">
        <v>14</v>
      </c>
      <c r="F28" s="62" t="s">
        <v>255</v>
      </c>
      <c r="G28" s="62" t="s">
        <v>255</v>
      </c>
      <c r="H28" s="62"/>
      <c r="I28" s="62" t="s">
        <v>255</v>
      </c>
      <c r="J28" s="62">
        <v>30</v>
      </c>
      <c r="K28" s="83">
        <v>552</v>
      </c>
      <c r="L28" s="62"/>
      <c r="M28" s="62" t="s">
        <v>255</v>
      </c>
      <c r="N28" s="78">
        <f t="shared" si="14"/>
        <v>630</v>
      </c>
      <c r="P28" s="104" t="s">
        <v>214</v>
      </c>
      <c r="Q28" s="99" t="s">
        <v>255</v>
      </c>
      <c r="R28" s="98">
        <f t="shared" si="16"/>
        <v>6.9102530880193482E-4</v>
      </c>
      <c r="S28" s="98">
        <f t="shared" si="17"/>
        <v>1.0743446497636442E-3</v>
      </c>
      <c r="T28" s="98">
        <f t="shared" si="18"/>
        <v>5.4604313740785524E-4</v>
      </c>
      <c r="U28" s="98" t="s">
        <v>255</v>
      </c>
      <c r="V28" s="98" t="s">
        <v>255</v>
      </c>
      <c r="W28" s="98">
        <f t="shared" si="21"/>
        <v>0</v>
      </c>
      <c r="X28" s="98" t="s">
        <v>255</v>
      </c>
      <c r="Y28" s="98">
        <f t="shared" si="23"/>
        <v>8.9847259658580418E-3</v>
      </c>
      <c r="Z28" s="97">
        <f t="shared" si="24"/>
        <v>0.87619047619047619</v>
      </c>
      <c r="AA28" s="98">
        <f t="shared" si="25"/>
        <v>0</v>
      </c>
      <c r="AB28" s="98" t="s">
        <v>255</v>
      </c>
    </row>
    <row r="29" spans="1:28" ht="16">
      <c r="A29" s="61" t="s">
        <v>215</v>
      </c>
      <c r="B29" s="62" t="s">
        <v>255</v>
      </c>
      <c r="C29" s="62"/>
      <c r="D29" s="62"/>
      <c r="E29" s="62"/>
      <c r="F29" s="62" t="s">
        <v>255</v>
      </c>
      <c r="G29" s="62" t="s">
        <v>255</v>
      </c>
      <c r="H29" s="62"/>
      <c r="I29" s="62" t="s">
        <v>255</v>
      </c>
      <c r="J29" s="62"/>
      <c r="K29" s="62"/>
      <c r="L29" s="83">
        <v>28</v>
      </c>
      <c r="M29" s="62"/>
      <c r="N29" s="78">
        <f t="shared" si="14"/>
        <v>28</v>
      </c>
      <c r="P29" s="104" t="s">
        <v>215</v>
      </c>
      <c r="Q29" s="99" t="s">
        <v>255</v>
      </c>
      <c r="R29" s="98">
        <f t="shared" si="16"/>
        <v>0</v>
      </c>
      <c r="S29" s="98">
        <f t="shared" si="17"/>
        <v>0</v>
      </c>
      <c r="T29" s="98">
        <f t="shared" si="18"/>
        <v>0</v>
      </c>
      <c r="U29" s="98" t="s">
        <v>255</v>
      </c>
      <c r="V29" s="98" t="s">
        <v>255</v>
      </c>
      <c r="W29" s="98">
        <f t="shared" si="21"/>
        <v>0</v>
      </c>
      <c r="X29" s="98" t="s">
        <v>255</v>
      </c>
      <c r="Y29" s="98">
        <f t="shared" si="23"/>
        <v>0</v>
      </c>
      <c r="Z29" s="98">
        <f t="shared" si="24"/>
        <v>0</v>
      </c>
      <c r="AA29" s="97">
        <f t="shared" si="25"/>
        <v>1</v>
      </c>
      <c r="AB29" s="98">
        <f t="shared" si="26"/>
        <v>0</v>
      </c>
    </row>
    <row r="30" spans="1:28" ht="33" thickBot="1">
      <c r="A30" s="61" t="s">
        <v>216</v>
      </c>
      <c r="B30" s="62"/>
      <c r="C30" s="62" t="s">
        <v>255</v>
      </c>
      <c r="D30" s="62" t="s">
        <v>255</v>
      </c>
      <c r="E30" s="62"/>
      <c r="F30" s="62" t="s">
        <v>255</v>
      </c>
      <c r="G30" s="62" t="s">
        <v>255</v>
      </c>
      <c r="H30" s="62"/>
      <c r="I30" s="62"/>
      <c r="J30" s="62">
        <v>5</v>
      </c>
      <c r="K30" s="62" t="s">
        <v>255</v>
      </c>
      <c r="L30" s="62"/>
      <c r="M30" s="83">
        <v>46</v>
      </c>
      <c r="N30" s="78">
        <f t="shared" si="14"/>
        <v>51</v>
      </c>
      <c r="P30" s="104" t="s">
        <v>308</v>
      </c>
      <c r="Q30" s="100">
        <f t="shared" si="15"/>
        <v>0</v>
      </c>
      <c r="R30" s="101" t="s">
        <v>255</v>
      </c>
      <c r="S30" s="101" t="s">
        <v>255</v>
      </c>
      <c r="T30" s="101">
        <f t="shared" si="18"/>
        <v>0</v>
      </c>
      <c r="U30" s="101" t="s">
        <v>255</v>
      </c>
      <c r="V30" s="101" t="s">
        <v>255</v>
      </c>
      <c r="W30" s="101">
        <f t="shared" si="21"/>
        <v>0</v>
      </c>
      <c r="X30" s="101">
        <f t="shared" si="22"/>
        <v>0</v>
      </c>
      <c r="Y30" s="101">
        <f t="shared" si="23"/>
        <v>1.497454327643007E-3</v>
      </c>
      <c r="Z30" s="101" t="s">
        <v>255</v>
      </c>
      <c r="AA30" s="101">
        <f t="shared" si="25"/>
        <v>0</v>
      </c>
      <c r="AB30" s="102">
        <f t="shared" si="26"/>
        <v>0.90196078431372551</v>
      </c>
    </row>
    <row r="31" spans="1:28" ht="15">
      <c r="A31" s="88"/>
      <c r="B31" s="90">
        <f>SUM(B19:B30)</f>
        <v>813</v>
      </c>
      <c r="C31" s="90">
        <f t="shared" ref="C31:M31" si="27">SUM(C19:C30)</f>
        <v>34731</v>
      </c>
      <c r="D31" s="90">
        <f t="shared" si="27"/>
        <v>9308</v>
      </c>
      <c r="E31" s="90">
        <f t="shared" si="27"/>
        <v>25639</v>
      </c>
      <c r="F31" s="90">
        <f t="shared" si="27"/>
        <v>3933</v>
      </c>
      <c r="G31" s="90">
        <f t="shared" si="27"/>
        <v>3484</v>
      </c>
      <c r="H31" s="90">
        <f t="shared" si="27"/>
        <v>452</v>
      </c>
      <c r="I31" s="90">
        <f t="shared" si="27"/>
        <v>426</v>
      </c>
      <c r="J31" s="90">
        <f t="shared" si="27"/>
        <v>3339</v>
      </c>
      <c r="K31" s="90">
        <f t="shared" si="27"/>
        <v>630</v>
      </c>
      <c r="L31" s="90">
        <f t="shared" si="27"/>
        <v>28</v>
      </c>
      <c r="M31" s="90">
        <f t="shared" si="27"/>
        <v>51</v>
      </c>
      <c r="P31" s="88" t="s">
        <v>303</v>
      </c>
      <c r="Q31" s="89">
        <v>813</v>
      </c>
      <c r="R31" s="89">
        <v>34731</v>
      </c>
      <c r="S31" s="89">
        <v>9308</v>
      </c>
      <c r="T31" s="89">
        <v>25639</v>
      </c>
      <c r="U31" s="89">
        <v>3933</v>
      </c>
      <c r="V31" s="89">
        <v>3484</v>
      </c>
      <c r="W31" s="89">
        <v>452</v>
      </c>
      <c r="X31" s="89">
        <v>426</v>
      </c>
      <c r="Y31" s="89">
        <v>3339</v>
      </c>
      <c r="Z31" s="89">
        <v>630</v>
      </c>
      <c r="AA31" s="89">
        <v>28</v>
      </c>
      <c r="AB31" s="89">
        <v>51</v>
      </c>
    </row>
    <row r="32" spans="1:28" ht="26">
      <c r="B32" s="84" t="str">
        <f>Table_4.0_Information!$A$6</f>
        <v>New Mexico</v>
      </c>
      <c r="C32" s="84"/>
      <c r="D32" s="84"/>
      <c r="E32" s="84"/>
      <c r="F32" s="84"/>
      <c r="G32" s="84"/>
      <c r="H32" s="84"/>
      <c r="I32" s="84"/>
      <c r="J32" s="84"/>
      <c r="K32" s="84"/>
      <c r="L32" s="84"/>
      <c r="M32" s="84"/>
      <c r="P32" s="296" t="s">
        <v>60</v>
      </c>
      <c r="Q32" s="296"/>
      <c r="R32" s="296"/>
      <c r="S32" s="296"/>
      <c r="T32" s="296"/>
      <c r="U32" s="296"/>
      <c r="V32" s="296"/>
      <c r="W32" s="296"/>
      <c r="X32" s="296"/>
      <c r="Y32" s="296"/>
      <c r="Z32" s="296"/>
      <c r="AA32" s="296"/>
      <c r="AB32" s="296"/>
    </row>
    <row r="33" spans="1:28" ht="48">
      <c r="A33" s="58" t="s">
        <v>199</v>
      </c>
      <c r="B33" s="93" t="s">
        <v>200</v>
      </c>
      <c r="C33" s="93" t="s">
        <v>201</v>
      </c>
      <c r="D33" s="92" t="s">
        <v>212</v>
      </c>
      <c r="E33" s="93" t="s">
        <v>213</v>
      </c>
      <c r="F33" s="93" t="s">
        <v>204</v>
      </c>
      <c r="G33" s="93" t="s">
        <v>205</v>
      </c>
      <c r="H33" s="93" t="s">
        <v>206</v>
      </c>
      <c r="I33" s="93" t="s">
        <v>207</v>
      </c>
      <c r="J33" s="93" t="s">
        <v>208</v>
      </c>
      <c r="K33" s="93" t="s">
        <v>214</v>
      </c>
      <c r="L33" s="93" t="s">
        <v>215</v>
      </c>
      <c r="M33" s="93" t="s">
        <v>216</v>
      </c>
      <c r="P33" s="58"/>
      <c r="Q33" s="93" t="s">
        <v>200</v>
      </c>
      <c r="R33" s="93" t="s">
        <v>201</v>
      </c>
      <c r="S33" s="92" t="s">
        <v>304</v>
      </c>
      <c r="T33" s="93" t="s">
        <v>305</v>
      </c>
      <c r="U33" s="93" t="s">
        <v>204</v>
      </c>
      <c r="V33" s="93" t="s">
        <v>306</v>
      </c>
      <c r="W33" s="93" t="s">
        <v>307</v>
      </c>
      <c r="X33" s="93" t="s">
        <v>207</v>
      </c>
      <c r="Y33" s="93" t="s">
        <v>208</v>
      </c>
      <c r="Z33" s="93" t="s">
        <v>214</v>
      </c>
      <c r="AA33" s="93" t="s">
        <v>215</v>
      </c>
      <c r="AB33" s="93" t="s">
        <v>308</v>
      </c>
    </row>
    <row r="34" spans="1:28" ht="16">
      <c r="A34" s="61" t="s">
        <v>200</v>
      </c>
      <c r="B34" s="83">
        <v>59</v>
      </c>
      <c r="C34" s="62">
        <v>8</v>
      </c>
      <c r="D34" s="62">
        <v>8</v>
      </c>
      <c r="E34" s="62"/>
      <c r="F34" s="62">
        <v>3</v>
      </c>
      <c r="G34" s="62">
        <v>3</v>
      </c>
      <c r="H34" s="62"/>
      <c r="I34" s="62"/>
      <c r="J34" s="62"/>
      <c r="K34" s="62"/>
      <c r="L34" s="62"/>
      <c r="M34" s="62"/>
      <c r="N34" s="78">
        <f t="shared" ref="N34:N45" si="28">SUM(B34:M34)</f>
        <v>81</v>
      </c>
      <c r="P34" s="104" t="s">
        <v>200</v>
      </c>
      <c r="Q34" s="97">
        <f>B34/81</f>
        <v>0.72839506172839508</v>
      </c>
      <c r="R34" s="98">
        <f>C34/3027</f>
        <v>2.642880740006607E-3</v>
      </c>
      <c r="S34" s="98">
        <f>D34/1681</f>
        <v>4.7590719809637123E-3</v>
      </c>
      <c r="T34" s="98">
        <f>E34/1379</f>
        <v>0</v>
      </c>
      <c r="U34" s="98">
        <f>F34/550</f>
        <v>5.454545454545455E-3</v>
      </c>
      <c r="V34" s="98">
        <f>G34/486</f>
        <v>6.1728395061728392E-3</v>
      </c>
      <c r="W34" s="98">
        <f>H34/67</f>
        <v>0</v>
      </c>
      <c r="X34" s="98">
        <f>I34/81</f>
        <v>0</v>
      </c>
      <c r="Y34" s="98">
        <f>J34/688</f>
        <v>0</v>
      </c>
      <c r="Z34" s="98">
        <f>K34/254</f>
        <v>0</v>
      </c>
      <c r="AA34" s="98">
        <f>L34/8</f>
        <v>0</v>
      </c>
      <c r="AB34" s="98">
        <f>M34/4</f>
        <v>0</v>
      </c>
    </row>
    <row r="35" spans="1:28" ht="16">
      <c r="A35" s="61" t="s">
        <v>201</v>
      </c>
      <c r="B35" s="62">
        <v>8</v>
      </c>
      <c r="C35" s="83">
        <v>1423</v>
      </c>
      <c r="D35" s="62">
        <v>777</v>
      </c>
      <c r="E35" s="62">
        <v>657</v>
      </c>
      <c r="F35" s="62">
        <v>27</v>
      </c>
      <c r="G35" s="62">
        <v>27</v>
      </c>
      <c r="H35" s="62"/>
      <c r="I35" s="62">
        <v>10</v>
      </c>
      <c r="J35" s="62">
        <v>80</v>
      </c>
      <c r="K35" s="62">
        <v>17</v>
      </c>
      <c r="L35" s="62">
        <v>1</v>
      </c>
      <c r="M35" s="62"/>
      <c r="N35" s="78">
        <f t="shared" si="28"/>
        <v>3027</v>
      </c>
      <c r="P35" s="104" t="s">
        <v>201</v>
      </c>
      <c r="Q35" s="99">
        <f t="shared" ref="Q35:Q45" si="29">B35/81</f>
        <v>9.8765432098765427E-2</v>
      </c>
      <c r="R35" s="97">
        <f t="shared" ref="R35:R45" si="30">C35/3027</f>
        <v>0.47010241162867528</v>
      </c>
      <c r="S35" s="98">
        <f t="shared" ref="S35:S45" si="31">D35/1681</f>
        <v>0.46222486615110053</v>
      </c>
      <c r="T35" s="98">
        <f t="shared" ref="T35:T45" si="32">E35/1379</f>
        <v>0.47643219724437996</v>
      </c>
      <c r="U35" s="98">
        <f t="shared" ref="U35:U45" si="33">F35/550</f>
        <v>4.9090909090909088E-2</v>
      </c>
      <c r="V35" s="98">
        <f t="shared" ref="V35:V45" si="34">G35/486</f>
        <v>5.5555555555555552E-2</v>
      </c>
      <c r="W35" s="98">
        <f>H35/67</f>
        <v>0</v>
      </c>
      <c r="X35" s="98">
        <f t="shared" ref="X35:X45" si="35">I35/81</f>
        <v>0.12345679012345678</v>
      </c>
      <c r="Y35" s="98">
        <f t="shared" ref="Y35:Y45" si="36">J35/688</f>
        <v>0.11627906976744186</v>
      </c>
      <c r="Z35" s="98">
        <f>K35/254</f>
        <v>6.6929133858267723E-2</v>
      </c>
      <c r="AA35" s="98">
        <f>L35/8</f>
        <v>0.125</v>
      </c>
      <c r="AB35" s="98">
        <f t="shared" ref="AB35:AB45" si="37">M35/4</f>
        <v>0</v>
      </c>
    </row>
    <row r="36" spans="1:28" ht="32">
      <c r="A36" s="63" t="s">
        <v>212</v>
      </c>
      <c r="B36" s="62">
        <v>8</v>
      </c>
      <c r="C36" s="62">
        <v>777</v>
      </c>
      <c r="D36" s="83">
        <v>777</v>
      </c>
      <c r="E36" s="62">
        <v>11</v>
      </c>
      <c r="F36" s="62">
        <v>10</v>
      </c>
      <c r="G36" s="62">
        <v>10</v>
      </c>
      <c r="H36" s="62"/>
      <c r="I36" s="62">
        <v>3</v>
      </c>
      <c r="J36" s="62">
        <v>74</v>
      </c>
      <c r="K36" s="62">
        <v>11</v>
      </c>
      <c r="L36" s="62"/>
      <c r="M36" s="62"/>
      <c r="N36" s="78">
        <f t="shared" si="28"/>
        <v>1681</v>
      </c>
      <c r="P36" s="63" t="s">
        <v>304</v>
      </c>
      <c r="Q36" s="99">
        <f t="shared" si="29"/>
        <v>9.8765432098765427E-2</v>
      </c>
      <c r="R36" s="98">
        <f t="shared" si="30"/>
        <v>0.25668979187314173</v>
      </c>
      <c r="S36" s="97">
        <f t="shared" si="31"/>
        <v>0.46222486615110053</v>
      </c>
      <c r="T36" s="98">
        <f t="shared" si="32"/>
        <v>7.9767947788252358E-3</v>
      </c>
      <c r="U36" s="98">
        <f t="shared" si="33"/>
        <v>1.8181818181818181E-2</v>
      </c>
      <c r="V36" s="98">
        <f t="shared" si="34"/>
        <v>2.0576131687242798E-2</v>
      </c>
      <c r="W36" s="98">
        <f t="shared" ref="W36:W45" si="38">H36/67</f>
        <v>0</v>
      </c>
      <c r="X36" s="98">
        <f t="shared" si="35"/>
        <v>3.7037037037037035E-2</v>
      </c>
      <c r="Y36" s="98">
        <f t="shared" si="36"/>
        <v>0.10755813953488372</v>
      </c>
      <c r="Z36" s="98">
        <f t="shared" ref="Z36:Z45" si="39">K36/254</f>
        <v>4.3307086614173228E-2</v>
      </c>
      <c r="AA36" s="98">
        <f t="shared" ref="AA36:AA45" si="40">L36/8</f>
        <v>0</v>
      </c>
      <c r="AB36" s="98">
        <f t="shared" si="37"/>
        <v>0</v>
      </c>
    </row>
    <row r="37" spans="1:28" ht="16">
      <c r="A37" s="61" t="s">
        <v>213</v>
      </c>
      <c r="B37" s="62"/>
      <c r="C37" s="62">
        <v>657</v>
      </c>
      <c r="D37" s="62">
        <v>11</v>
      </c>
      <c r="E37" s="83">
        <v>657</v>
      </c>
      <c r="F37" s="62">
        <v>17</v>
      </c>
      <c r="G37" s="62">
        <v>17</v>
      </c>
      <c r="H37" s="62"/>
      <c r="I37" s="62">
        <v>7</v>
      </c>
      <c r="J37" s="62">
        <v>6</v>
      </c>
      <c r="K37" s="62">
        <v>6</v>
      </c>
      <c r="L37" s="62">
        <v>1</v>
      </c>
      <c r="M37" s="62"/>
      <c r="N37" s="78">
        <f t="shared" si="28"/>
        <v>1379</v>
      </c>
      <c r="P37" s="104" t="s">
        <v>305</v>
      </c>
      <c r="Q37" s="99">
        <f t="shared" si="29"/>
        <v>0</v>
      </c>
      <c r="R37" s="98">
        <f t="shared" si="30"/>
        <v>0.21704658077304262</v>
      </c>
      <c r="S37" s="98">
        <f t="shared" si="31"/>
        <v>6.5437239738251043E-3</v>
      </c>
      <c r="T37" s="97">
        <f t="shared" si="32"/>
        <v>0.47643219724437996</v>
      </c>
      <c r="U37" s="98">
        <f t="shared" si="33"/>
        <v>3.090909090909091E-2</v>
      </c>
      <c r="V37" s="98">
        <f t="shared" si="34"/>
        <v>3.4979423868312758E-2</v>
      </c>
      <c r="W37" s="98">
        <f t="shared" si="38"/>
        <v>0</v>
      </c>
      <c r="X37" s="98">
        <f t="shared" si="35"/>
        <v>8.6419753086419748E-2</v>
      </c>
      <c r="Y37" s="98">
        <f t="shared" si="36"/>
        <v>8.7209302325581394E-3</v>
      </c>
      <c r="Z37" s="98">
        <f t="shared" si="39"/>
        <v>2.3622047244094488E-2</v>
      </c>
      <c r="AA37" s="98">
        <f t="shared" si="40"/>
        <v>0.125</v>
      </c>
      <c r="AB37" s="98">
        <f t="shared" si="37"/>
        <v>0</v>
      </c>
    </row>
    <row r="38" spans="1:28" ht="16">
      <c r="A38" s="61" t="s">
        <v>204</v>
      </c>
      <c r="B38" s="62">
        <v>3</v>
      </c>
      <c r="C38" s="62">
        <v>27</v>
      </c>
      <c r="D38" s="62">
        <v>10</v>
      </c>
      <c r="E38" s="62">
        <v>17</v>
      </c>
      <c r="F38" s="83">
        <v>240</v>
      </c>
      <c r="G38" s="62">
        <v>208</v>
      </c>
      <c r="H38" s="62">
        <v>33</v>
      </c>
      <c r="I38" s="62">
        <v>5</v>
      </c>
      <c r="J38" s="62">
        <v>6</v>
      </c>
      <c r="K38" s="62">
        <v>1</v>
      </c>
      <c r="L38" s="62"/>
      <c r="M38" s="62"/>
      <c r="N38" s="78">
        <f t="shared" si="28"/>
        <v>550</v>
      </c>
      <c r="P38" s="104" t="s">
        <v>204</v>
      </c>
      <c r="Q38" s="99">
        <f t="shared" si="29"/>
        <v>3.7037037037037035E-2</v>
      </c>
      <c r="R38" s="98">
        <f t="shared" si="30"/>
        <v>8.9197224975222991E-3</v>
      </c>
      <c r="S38" s="98">
        <f t="shared" si="31"/>
        <v>5.9488399762046397E-3</v>
      </c>
      <c r="T38" s="98">
        <f t="shared" si="32"/>
        <v>1.2327773749093546E-2</v>
      </c>
      <c r="U38" s="97">
        <f t="shared" si="33"/>
        <v>0.43636363636363634</v>
      </c>
      <c r="V38" s="98">
        <f t="shared" si="34"/>
        <v>0.4279835390946502</v>
      </c>
      <c r="W38" s="98">
        <f t="shared" si="38"/>
        <v>0.4925373134328358</v>
      </c>
      <c r="X38" s="98">
        <f t="shared" si="35"/>
        <v>6.1728395061728392E-2</v>
      </c>
      <c r="Y38" s="98">
        <f t="shared" si="36"/>
        <v>8.7209302325581394E-3</v>
      </c>
      <c r="Z38" s="98">
        <f t="shared" si="39"/>
        <v>3.937007874015748E-3</v>
      </c>
      <c r="AA38" s="98">
        <f t="shared" si="40"/>
        <v>0</v>
      </c>
      <c r="AB38" s="98">
        <f t="shared" si="37"/>
        <v>0</v>
      </c>
    </row>
    <row r="39" spans="1:28" ht="16">
      <c r="A39" s="61" t="s">
        <v>205</v>
      </c>
      <c r="B39" s="62">
        <v>3</v>
      </c>
      <c r="C39" s="62">
        <v>27</v>
      </c>
      <c r="D39" s="62">
        <v>10</v>
      </c>
      <c r="E39" s="62">
        <v>17</v>
      </c>
      <c r="F39" s="62">
        <v>208</v>
      </c>
      <c r="G39" s="83">
        <v>208</v>
      </c>
      <c r="H39" s="62">
        <v>1</v>
      </c>
      <c r="I39" s="62">
        <v>5</v>
      </c>
      <c r="J39" s="62">
        <v>6</v>
      </c>
      <c r="K39" s="62">
        <v>1</v>
      </c>
      <c r="L39" s="62"/>
      <c r="M39" s="62"/>
      <c r="N39" s="78">
        <f t="shared" si="28"/>
        <v>486</v>
      </c>
      <c r="P39" s="104" t="s">
        <v>306</v>
      </c>
      <c r="Q39" s="99">
        <f t="shared" si="29"/>
        <v>3.7037037037037035E-2</v>
      </c>
      <c r="R39" s="98">
        <f t="shared" si="30"/>
        <v>8.9197224975222991E-3</v>
      </c>
      <c r="S39" s="98">
        <f t="shared" si="31"/>
        <v>5.9488399762046397E-3</v>
      </c>
      <c r="T39" s="98">
        <f t="shared" si="32"/>
        <v>1.2327773749093546E-2</v>
      </c>
      <c r="U39" s="98">
        <f t="shared" si="33"/>
        <v>0.37818181818181817</v>
      </c>
      <c r="V39" s="97">
        <f t="shared" si="34"/>
        <v>0.4279835390946502</v>
      </c>
      <c r="W39" s="98">
        <f t="shared" si="38"/>
        <v>1.4925373134328358E-2</v>
      </c>
      <c r="X39" s="98">
        <f t="shared" si="35"/>
        <v>6.1728395061728392E-2</v>
      </c>
      <c r="Y39" s="98">
        <f t="shared" si="36"/>
        <v>8.7209302325581394E-3</v>
      </c>
      <c r="Z39" s="98">
        <f t="shared" si="39"/>
        <v>3.937007874015748E-3</v>
      </c>
      <c r="AA39" s="98">
        <f t="shared" si="40"/>
        <v>0</v>
      </c>
      <c r="AB39" s="98">
        <f t="shared" si="37"/>
        <v>0</v>
      </c>
    </row>
    <row r="40" spans="1:28" ht="16">
      <c r="A40" s="61" t="s">
        <v>206</v>
      </c>
      <c r="B40" s="62"/>
      <c r="C40" s="62"/>
      <c r="D40" s="62"/>
      <c r="E40" s="62"/>
      <c r="F40" s="62">
        <v>33</v>
      </c>
      <c r="G40" s="62">
        <v>1</v>
      </c>
      <c r="H40" s="83">
        <v>33</v>
      </c>
      <c r="I40" s="62"/>
      <c r="J40" s="62"/>
      <c r="K40" s="62"/>
      <c r="L40" s="62"/>
      <c r="M40" s="62"/>
      <c r="N40" s="78">
        <f t="shared" si="28"/>
        <v>67</v>
      </c>
      <c r="P40" s="104" t="s">
        <v>307</v>
      </c>
      <c r="Q40" s="99">
        <f t="shared" si="29"/>
        <v>0</v>
      </c>
      <c r="R40" s="98">
        <f t="shared" si="30"/>
        <v>0</v>
      </c>
      <c r="S40" s="98">
        <f t="shared" si="31"/>
        <v>0</v>
      </c>
      <c r="T40" s="98">
        <f t="shared" si="32"/>
        <v>0</v>
      </c>
      <c r="U40" s="98">
        <f t="shared" si="33"/>
        <v>0.06</v>
      </c>
      <c r="V40" s="98">
        <f t="shared" si="34"/>
        <v>2.05761316872428E-3</v>
      </c>
      <c r="W40" s="97">
        <f t="shared" si="38"/>
        <v>0.4925373134328358</v>
      </c>
      <c r="X40" s="98">
        <f t="shared" si="35"/>
        <v>0</v>
      </c>
      <c r="Y40" s="98">
        <f t="shared" si="36"/>
        <v>0</v>
      </c>
      <c r="Z40" s="98">
        <f t="shared" si="39"/>
        <v>0</v>
      </c>
      <c r="AA40" s="98">
        <f t="shared" si="40"/>
        <v>0</v>
      </c>
      <c r="AB40" s="98">
        <f t="shared" si="37"/>
        <v>0</v>
      </c>
    </row>
    <row r="41" spans="1:28" ht="16">
      <c r="A41" s="61" t="s">
        <v>207</v>
      </c>
      <c r="B41" s="62"/>
      <c r="C41" s="62">
        <v>10</v>
      </c>
      <c r="D41" s="62">
        <v>3</v>
      </c>
      <c r="E41" s="62">
        <v>7</v>
      </c>
      <c r="F41" s="62">
        <v>5</v>
      </c>
      <c r="G41" s="62">
        <v>5</v>
      </c>
      <c r="H41" s="62"/>
      <c r="I41" s="83">
        <v>48</v>
      </c>
      <c r="J41" s="62"/>
      <c r="K41" s="62">
        <v>3</v>
      </c>
      <c r="L41" s="62"/>
      <c r="M41" s="62"/>
      <c r="N41" s="78">
        <f t="shared" si="28"/>
        <v>81</v>
      </c>
      <c r="P41" s="104" t="s">
        <v>207</v>
      </c>
      <c r="Q41" s="99">
        <f t="shared" si="29"/>
        <v>0</v>
      </c>
      <c r="R41" s="98">
        <f t="shared" si="30"/>
        <v>3.3036009250082591E-3</v>
      </c>
      <c r="S41" s="98">
        <f t="shared" si="31"/>
        <v>1.784651992861392E-3</v>
      </c>
      <c r="T41" s="98">
        <f t="shared" si="32"/>
        <v>5.076142131979695E-3</v>
      </c>
      <c r="U41" s="98">
        <f t="shared" si="33"/>
        <v>9.0909090909090905E-3</v>
      </c>
      <c r="V41" s="98">
        <f t="shared" si="34"/>
        <v>1.0288065843621399E-2</v>
      </c>
      <c r="W41" s="98">
        <f t="shared" si="38"/>
        <v>0</v>
      </c>
      <c r="X41" s="97">
        <f t="shared" si="35"/>
        <v>0.59259259259259256</v>
      </c>
      <c r="Y41" s="98">
        <f t="shared" si="36"/>
        <v>0</v>
      </c>
      <c r="Z41" s="98">
        <f t="shared" si="39"/>
        <v>1.1811023622047244E-2</v>
      </c>
      <c r="AA41" s="98">
        <f t="shared" si="40"/>
        <v>0</v>
      </c>
      <c r="AB41" s="98">
        <f t="shared" si="37"/>
        <v>0</v>
      </c>
    </row>
    <row r="42" spans="1:28" ht="16">
      <c r="A42" s="61" t="s">
        <v>208</v>
      </c>
      <c r="B42" s="62"/>
      <c r="C42" s="62">
        <v>80</v>
      </c>
      <c r="D42" s="62">
        <v>74</v>
      </c>
      <c r="E42" s="62">
        <v>6</v>
      </c>
      <c r="F42" s="62">
        <v>6</v>
      </c>
      <c r="G42" s="62">
        <v>6</v>
      </c>
      <c r="H42" s="62"/>
      <c r="I42" s="62"/>
      <c r="J42" s="83">
        <v>505</v>
      </c>
      <c r="K42" s="62">
        <v>11</v>
      </c>
      <c r="L42" s="62"/>
      <c r="M42" s="62"/>
      <c r="N42" s="78">
        <f t="shared" si="28"/>
        <v>688</v>
      </c>
      <c r="P42" s="104" t="s">
        <v>208</v>
      </c>
      <c r="Q42" s="99">
        <f t="shared" si="29"/>
        <v>0</v>
      </c>
      <c r="R42" s="98">
        <f t="shared" si="30"/>
        <v>2.6428807400066073E-2</v>
      </c>
      <c r="S42" s="98">
        <f t="shared" si="31"/>
        <v>4.4021415823914334E-2</v>
      </c>
      <c r="T42" s="98">
        <f t="shared" si="32"/>
        <v>4.3509789702683103E-3</v>
      </c>
      <c r="U42" s="98">
        <f t="shared" si="33"/>
        <v>1.090909090909091E-2</v>
      </c>
      <c r="V42" s="98">
        <f t="shared" si="34"/>
        <v>1.2345679012345678E-2</v>
      </c>
      <c r="W42" s="98">
        <f t="shared" si="38"/>
        <v>0</v>
      </c>
      <c r="X42" s="98">
        <f t="shared" si="35"/>
        <v>0</v>
      </c>
      <c r="Y42" s="97">
        <f t="shared" si="36"/>
        <v>0.73401162790697672</v>
      </c>
      <c r="Z42" s="98">
        <f t="shared" si="39"/>
        <v>4.3307086614173228E-2</v>
      </c>
      <c r="AA42" s="98">
        <f t="shared" si="40"/>
        <v>0</v>
      </c>
      <c r="AB42" s="98">
        <f t="shared" si="37"/>
        <v>0</v>
      </c>
    </row>
    <row r="43" spans="1:28" ht="16">
      <c r="A43" s="61" t="s">
        <v>214</v>
      </c>
      <c r="B43" s="62"/>
      <c r="C43" s="62">
        <v>17</v>
      </c>
      <c r="D43" s="62">
        <v>11</v>
      </c>
      <c r="E43" s="62">
        <v>6</v>
      </c>
      <c r="F43" s="62">
        <v>1</v>
      </c>
      <c r="G43" s="62">
        <v>1</v>
      </c>
      <c r="H43" s="62"/>
      <c r="I43" s="62">
        <v>3</v>
      </c>
      <c r="J43" s="62">
        <v>11</v>
      </c>
      <c r="K43" s="83">
        <v>204</v>
      </c>
      <c r="L43" s="62"/>
      <c r="M43" s="62"/>
      <c r="N43" s="78">
        <f t="shared" si="28"/>
        <v>254</v>
      </c>
      <c r="P43" s="104" t="s">
        <v>214</v>
      </c>
      <c r="Q43" s="99">
        <f t="shared" si="29"/>
        <v>0</v>
      </c>
      <c r="R43" s="98">
        <f t="shared" si="30"/>
        <v>5.6161215725140405E-3</v>
      </c>
      <c r="S43" s="98">
        <f t="shared" si="31"/>
        <v>6.5437239738251043E-3</v>
      </c>
      <c r="T43" s="98">
        <f t="shared" si="32"/>
        <v>4.3509789702683103E-3</v>
      </c>
      <c r="U43" s="98">
        <f t="shared" si="33"/>
        <v>1.8181818181818182E-3</v>
      </c>
      <c r="V43" s="98">
        <f t="shared" si="34"/>
        <v>2.05761316872428E-3</v>
      </c>
      <c r="W43" s="98">
        <f t="shared" si="38"/>
        <v>0</v>
      </c>
      <c r="X43" s="98">
        <f t="shared" si="35"/>
        <v>3.7037037037037035E-2</v>
      </c>
      <c r="Y43" s="98">
        <f t="shared" si="36"/>
        <v>1.5988372093023256E-2</v>
      </c>
      <c r="Z43" s="97">
        <f t="shared" si="39"/>
        <v>0.80314960629921262</v>
      </c>
      <c r="AA43" s="98">
        <f t="shared" si="40"/>
        <v>0</v>
      </c>
      <c r="AB43" s="98">
        <f t="shared" si="37"/>
        <v>0</v>
      </c>
    </row>
    <row r="44" spans="1:28" ht="16">
      <c r="A44" s="61" t="s">
        <v>215</v>
      </c>
      <c r="B44" s="62"/>
      <c r="C44" s="62">
        <v>1</v>
      </c>
      <c r="D44" s="62"/>
      <c r="E44" s="62">
        <v>1</v>
      </c>
      <c r="F44" s="62"/>
      <c r="G44" s="62"/>
      <c r="H44" s="62"/>
      <c r="I44" s="62"/>
      <c r="J44" s="62"/>
      <c r="K44" s="62"/>
      <c r="L44" s="83">
        <v>6</v>
      </c>
      <c r="M44" s="62"/>
      <c r="N44" s="78">
        <f t="shared" si="28"/>
        <v>8</v>
      </c>
      <c r="P44" s="104" t="s">
        <v>215</v>
      </c>
      <c r="Q44" s="99">
        <f t="shared" si="29"/>
        <v>0</v>
      </c>
      <c r="R44" s="98">
        <f t="shared" si="30"/>
        <v>3.3036009250082588E-4</v>
      </c>
      <c r="S44" s="98">
        <f t="shared" si="31"/>
        <v>0</v>
      </c>
      <c r="T44" s="98">
        <f t="shared" si="32"/>
        <v>7.2516316171138508E-4</v>
      </c>
      <c r="U44" s="98">
        <f t="shared" si="33"/>
        <v>0</v>
      </c>
      <c r="V44" s="98">
        <f t="shared" si="34"/>
        <v>0</v>
      </c>
      <c r="W44" s="98">
        <f t="shared" si="38"/>
        <v>0</v>
      </c>
      <c r="X44" s="98">
        <f t="shared" si="35"/>
        <v>0</v>
      </c>
      <c r="Y44" s="98">
        <f t="shared" si="36"/>
        <v>0</v>
      </c>
      <c r="Z44" s="98">
        <f t="shared" si="39"/>
        <v>0</v>
      </c>
      <c r="AA44" s="97">
        <f t="shared" si="40"/>
        <v>0.75</v>
      </c>
      <c r="AB44" s="98">
        <f t="shared" si="37"/>
        <v>0</v>
      </c>
    </row>
    <row r="45" spans="1:28" ht="33" thickBot="1">
      <c r="A45" s="61" t="s">
        <v>216</v>
      </c>
      <c r="B45" s="62"/>
      <c r="C45" s="62"/>
      <c r="D45" s="62"/>
      <c r="E45" s="62"/>
      <c r="F45" s="62"/>
      <c r="G45" s="62"/>
      <c r="H45" s="62"/>
      <c r="I45" s="62"/>
      <c r="J45" s="62"/>
      <c r="K45" s="62"/>
      <c r="L45" s="62"/>
      <c r="M45" s="83">
        <v>4</v>
      </c>
      <c r="N45" s="78">
        <f t="shared" si="28"/>
        <v>4</v>
      </c>
      <c r="P45" s="104" t="s">
        <v>308</v>
      </c>
      <c r="Q45" s="100">
        <f t="shared" si="29"/>
        <v>0</v>
      </c>
      <c r="R45" s="101">
        <f t="shared" si="30"/>
        <v>0</v>
      </c>
      <c r="S45" s="101">
        <f t="shared" si="31"/>
        <v>0</v>
      </c>
      <c r="T45" s="101">
        <f t="shared" si="32"/>
        <v>0</v>
      </c>
      <c r="U45" s="101">
        <f t="shared" si="33"/>
        <v>0</v>
      </c>
      <c r="V45" s="101">
        <f t="shared" si="34"/>
        <v>0</v>
      </c>
      <c r="W45" s="101">
        <f t="shared" si="38"/>
        <v>0</v>
      </c>
      <c r="X45" s="101">
        <f t="shared" si="35"/>
        <v>0</v>
      </c>
      <c r="Y45" s="101">
        <f t="shared" si="36"/>
        <v>0</v>
      </c>
      <c r="Z45" s="101">
        <f t="shared" si="39"/>
        <v>0</v>
      </c>
      <c r="AA45" s="101">
        <f t="shared" si="40"/>
        <v>0</v>
      </c>
      <c r="AB45" s="102">
        <f t="shared" si="37"/>
        <v>1</v>
      </c>
    </row>
    <row r="46" spans="1:28" ht="15">
      <c r="A46" s="88"/>
      <c r="B46" s="90">
        <f>SUM(B34:B45)</f>
        <v>81</v>
      </c>
      <c r="C46" s="90">
        <f t="shared" ref="C46:M46" si="41">SUM(C34:C45)</f>
        <v>3027</v>
      </c>
      <c r="D46" s="90">
        <f t="shared" si="41"/>
        <v>1681</v>
      </c>
      <c r="E46" s="90">
        <f t="shared" si="41"/>
        <v>1379</v>
      </c>
      <c r="F46" s="90">
        <f t="shared" si="41"/>
        <v>550</v>
      </c>
      <c r="G46" s="90">
        <f t="shared" si="41"/>
        <v>486</v>
      </c>
      <c r="H46" s="90">
        <f t="shared" si="41"/>
        <v>67</v>
      </c>
      <c r="I46" s="90">
        <f t="shared" si="41"/>
        <v>81</v>
      </c>
      <c r="J46" s="90">
        <f t="shared" si="41"/>
        <v>688</v>
      </c>
      <c r="K46" s="90">
        <f t="shared" si="41"/>
        <v>254</v>
      </c>
      <c r="L46" s="90">
        <f t="shared" si="41"/>
        <v>8</v>
      </c>
      <c r="M46" s="90">
        <f t="shared" si="41"/>
        <v>4</v>
      </c>
      <c r="P46" s="88" t="s">
        <v>303</v>
      </c>
      <c r="Q46" s="89">
        <v>81</v>
      </c>
      <c r="R46" s="89">
        <v>3027</v>
      </c>
      <c r="S46" s="89">
        <v>1681</v>
      </c>
      <c r="T46" s="89">
        <v>1379</v>
      </c>
      <c r="U46" s="89">
        <v>550</v>
      </c>
      <c r="V46" s="89">
        <v>486</v>
      </c>
      <c r="W46" s="89">
        <v>67</v>
      </c>
      <c r="X46" s="89">
        <v>81</v>
      </c>
      <c r="Y46" s="89">
        <v>688</v>
      </c>
      <c r="Z46" s="89">
        <v>254</v>
      </c>
      <c r="AA46" s="89">
        <v>8</v>
      </c>
      <c r="AB46" s="89">
        <v>4</v>
      </c>
    </row>
    <row r="47" spans="1:28" ht="15">
      <c r="B47" s="84" t="str">
        <f>Table_4.0_Information!$A$7</f>
        <v>4 add state in table 0</v>
      </c>
      <c r="C47" s="84"/>
      <c r="D47" s="84"/>
      <c r="E47" s="84"/>
      <c r="F47" s="84"/>
      <c r="G47" s="84"/>
      <c r="H47" s="84"/>
      <c r="I47" s="84"/>
      <c r="J47" s="84"/>
      <c r="K47" s="84"/>
      <c r="L47" s="84"/>
      <c r="M47" s="84"/>
    </row>
    <row r="48" spans="1:28" ht="15">
      <c r="A48" s="58" t="s">
        <v>199</v>
      </c>
      <c r="B48" s="59" t="s">
        <v>200</v>
      </c>
      <c r="C48" s="59" t="s">
        <v>201</v>
      </c>
      <c r="D48" s="60" t="s">
        <v>298</v>
      </c>
      <c r="E48" s="60" t="s">
        <v>299</v>
      </c>
      <c r="F48" s="59" t="s">
        <v>204</v>
      </c>
      <c r="G48" s="59" t="s">
        <v>205</v>
      </c>
      <c r="H48" s="59" t="s">
        <v>206</v>
      </c>
      <c r="I48" s="59" t="s">
        <v>207</v>
      </c>
      <c r="J48" s="59" t="s">
        <v>208</v>
      </c>
      <c r="K48" s="60" t="s">
        <v>300</v>
      </c>
      <c r="L48" s="60" t="s">
        <v>301</v>
      </c>
      <c r="M48" s="60" t="s">
        <v>302</v>
      </c>
    </row>
    <row r="49" spans="1:13" ht="15">
      <c r="A49" s="61" t="s">
        <v>200</v>
      </c>
      <c r="B49" s="83"/>
      <c r="C49" s="62"/>
      <c r="D49" s="62"/>
      <c r="E49" s="62"/>
      <c r="F49" s="62"/>
      <c r="G49" s="62"/>
      <c r="H49" s="62"/>
      <c r="I49" s="62"/>
      <c r="J49" s="62"/>
      <c r="K49" s="62"/>
      <c r="L49" s="62"/>
      <c r="M49" s="62"/>
    </row>
    <row r="50" spans="1:13" ht="15">
      <c r="A50" s="61" t="s">
        <v>201</v>
      </c>
      <c r="B50" s="62"/>
      <c r="C50" s="83"/>
      <c r="D50" s="62"/>
      <c r="E50" s="62"/>
      <c r="F50" s="62"/>
      <c r="G50" s="62"/>
      <c r="H50" s="62"/>
      <c r="I50" s="62"/>
      <c r="J50" s="62"/>
      <c r="K50" s="62"/>
      <c r="L50" s="62"/>
      <c r="M50" s="62"/>
    </row>
    <row r="51" spans="1:13" ht="32">
      <c r="A51" s="63" t="s">
        <v>212</v>
      </c>
      <c r="B51" s="62"/>
      <c r="C51" s="62"/>
      <c r="D51" s="83"/>
      <c r="E51" s="62"/>
      <c r="F51" s="62"/>
      <c r="G51" s="62"/>
      <c r="H51" s="62"/>
      <c r="I51" s="62"/>
      <c r="J51" s="62"/>
      <c r="K51" s="62"/>
      <c r="L51" s="62"/>
      <c r="M51" s="62"/>
    </row>
    <row r="52" spans="1:13" ht="15">
      <c r="A52" s="61" t="s">
        <v>213</v>
      </c>
      <c r="B52" s="62"/>
      <c r="C52" s="62"/>
      <c r="D52" s="62"/>
      <c r="E52" s="83"/>
      <c r="F52" s="62"/>
      <c r="G52" s="62"/>
      <c r="H52" s="62"/>
      <c r="I52" s="62"/>
      <c r="J52" s="62"/>
      <c r="K52" s="62"/>
      <c r="L52" s="62"/>
      <c r="M52" s="62"/>
    </row>
    <row r="53" spans="1:13" ht="15">
      <c r="A53" s="61" t="s">
        <v>204</v>
      </c>
      <c r="B53" s="62"/>
      <c r="C53" s="62"/>
      <c r="D53" s="62"/>
      <c r="E53" s="62"/>
      <c r="F53" s="83"/>
      <c r="G53" s="62"/>
      <c r="H53" s="62"/>
      <c r="I53" s="62"/>
      <c r="J53" s="62"/>
      <c r="K53" s="62"/>
      <c r="L53" s="62"/>
      <c r="M53" s="62"/>
    </row>
    <row r="54" spans="1:13" ht="15">
      <c r="A54" s="61" t="s">
        <v>205</v>
      </c>
      <c r="B54" s="62"/>
      <c r="C54" s="62"/>
      <c r="D54" s="62"/>
      <c r="E54" s="62"/>
      <c r="F54" s="62"/>
      <c r="G54" s="83"/>
      <c r="H54" s="62"/>
      <c r="I54" s="62"/>
      <c r="J54" s="62"/>
      <c r="K54" s="62"/>
      <c r="L54" s="62"/>
      <c r="M54" s="62"/>
    </row>
    <row r="55" spans="1:13" ht="15">
      <c r="A55" s="61" t="s">
        <v>206</v>
      </c>
      <c r="B55" s="62"/>
      <c r="C55" s="62"/>
      <c r="D55" s="62"/>
      <c r="E55" s="62"/>
      <c r="F55" s="62"/>
      <c r="G55" s="62"/>
      <c r="H55" s="83"/>
      <c r="I55" s="62"/>
      <c r="J55" s="62"/>
      <c r="K55" s="62"/>
      <c r="L55" s="62"/>
      <c r="M55" s="62"/>
    </row>
    <row r="56" spans="1:13" ht="15">
      <c r="A56" s="61" t="s">
        <v>207</v>
      </c>
      <c r="B56" s="62"/>
      <c r="C56" s="62"/>
      <c r="D56" s="62"/>
      <c r="E56" s="62"/>
      <c r="F56" s="62"/>
      <c r="G56" s="62"/>
      <c r="H56" s="62"/>
      <c r="I56" s="83"/>
      <c r="J56" s="62"/>
      <c r="K56" s="62"/>
      <c r="L56" s="62"/>
      <c r="M56" s="62"/>
    </row>
    <row r="57" spans="1:13" ht="15">
      <c r="A57" s="61" t="s">
        <v>208</v>
      </c>
      <c r="B57" s="62"/>
      <c r="C57" s="62"/>
      <c r="D57" s="62"/>
      <c r="E57" s="62"/>
      <c r="F57" s="62"/>
      <c r="G57" s="62"/>
      <c r="H57" s="62"/>
      <c r="I57" s="62"/>
      <c r="J57" s="83"/>
      <c r="K57" s="62"/>
      <c r="L57" s="62"/>
      <c r="M57" s="62"/>
    </row>
    <row r="58" spans="1:13" ht="15">
      <c r="A58" s="61" t="s">
        <v>214</v>
      </c>
      <c r="B58" s="62"/>
      <c r="C58" s="62"/>
      <c r="D58" s="62"/>
      <c r="E58" s="62"/>
      <c r="F58" s="62"/>
      <c r="G58" s="62"/>
      <c r="H58" s="62"/>
      <c r="I58" s="62"/>
      <c r="J58" s="62"/>
      <c r="K58" s="83"/>
      <c r="L58" s="62"/>
      <c r="M58" s="62"/>
    </row>
    <row r="59" spans="1:13" ht="15">
      <c r="A59" s="61" t="s">
        <v>215</v>
      </c>
      <c r="B59" s="62"/>
      <c r="C59" s="62"/>
      <c r="D59" s="62"/>
      <c r="E59" s="62"/>
      <c r="F59" s="62"/>
      <c r="G59" s="62"/>
      <c r="H59" s="62"/>
      <c r="I59" s="62"/>
      <c r="J59" s="62"/>
      <c r="K59" s="62"/>
      <c r="L59" s="83"/>
      <c r="M59" s="62"/>
    </row>
    <row r="60" spans="1:13" ht="15">
      <c r="A60" s="61" t="s">
        <v>216</v>
      </c>
      <c r="B60" s="62"/>
      <c r="C60" s="62"/>
      <c r="D60" s="62"/>
      <c r="E60" s="62"/>
      <c r="F60" s="62"/>
      <c r="G60" s="62"/>
      <c r="H60" s="62"/>
      <c r="I60" s="62"/>
      <c r="J60" s="62"/>
      <c r="K60" s="62"/>
      <c r="L60" s="62"/>
      <c r="M60" s="83"/>
    </row>
    <row r="61" spans="1:13" ht="12" customHeight="1">
      <c r="B61" s="84" t="str">
        <f>Table_4.0_Information!$A$8</f>
        <v>5 add state in table 0</v>
      </c>
      <c r="C61" s="84"/>
      <c r="D61" s="84"/>
      <c r="E61" s="84"/>
      <c r="F61" s="84"/>
      <c r="G61" s="84"/>
      <c r="H61" s="84"/>
      <c r="I61" s="84"/>
      <c r="J61" s="84"/>
      <c r="K61" s="84"/>
      <c r="L61" s="84"/>
      <c r="M61" s="84"/>
    </row>
    <row r="62" spans="1:13" ht="12" customHeight="1">
      <c r="A62" s="58" t="s">
        <v>199</v>
      </c>
      <c r="B62" s="59" t="s">
        <v>200</v>
      </c>
      <c r="C62" s="59" t="s">
        <v>201</v>
      </c>
      <c r="D62" s="60" t="s">
        <v>298</v>
      </c>
      <c r="E62" s="60" t="s">
        <v>299</v>
      </c>
      <c r="F62" s="59" t="s">
        <v>204</v>
      </c>
      <c r="G62" s="59" t="s">
        <v>205</v>
      </c>
      <c r="H62" s="59" t="s">
        <v>206</v>
      </c>
      <c r="I62" s="59" t="s">
        <v>207</v>
      </c>
      <c r="J62" s="59" t="s">
        <v>208</v>
      </c>
      <c r="K62" s="60" t="s">
        <v>300</v>
      </c>
      <c r="L62" s="60" t="s">
        <v>301</v>
      </c>
      <c r="M62" s="60" t="s">
        <v>302</v>
      </c>
    </row>
    <row r="63" spans="1:13" ht="12" customHeight="1">
      <c r="A63" s="61" t="s">
        <v>200</v>
      </c>
      <c r="B63" s="62"/>
      <c r="C63" s="62"/>
      <c r="D63" s="62"/>
      <c r="E63" s="62"/>
      <c r="F63" s="62"/>
      <c r="G63" s="62"/>
      <c r="H63" s="62"/>
      <c r="I63" s="62"/>
      <c r="J63" s="62"/>
      <c r="K63" s="62"/>
      <c r="L63" s="62"/>
      <c r="M63" s="62"/>
    </row>
    <row r="64" spans="1:13" ht="12" customHeight="1">
      <c r="A64" s="61" t="s">
        <v>201</v>
      </c>
      <c r="B64" s="62"/>
      <c r="C64" s="62"/>
      <c r="D64" s="62"/>
      <c r="E64" s="62"/>
      <c r="F64" s="62"/>
      <c r="G64" s="62"/>
      <c r="H64" s="62"/>
      <c r="I64" s="62"/>
      <c r="J64" s="62"/>
      <c r="K64" s="62"/>
      <c r="L64" s="62"/>
      <c r="M64" s="62"/>
    </row>
    <row r="65" spans="1:13" ht="12" customHeight="1">
      <c r="A65" s="63" t="s">
        <v>212</v>
      </c>
      <c r="B65" s="62"/>
      <c r="C65" s="62"/>
      <c r="D65" s="62"/>
      <c r="E65" s="62"/>
      <c r="F65" s="62"/>
      <c r="G65" s="62"/>
      <c r="H65" s="62"/>
      <c r="I65" s="62"/>
      <c r="J65" s="62"/>
      <c r="K65" s="62"/>
      <c r="L65" s="62"/>
      <c r="M65" s="62"/>
    </row>
    <row r="66" spans="1:13" ht="12" customHeight="1">
      <c r="A66" s="61" t="s">
        <v>213</v>
      </c>
      <c r="B66" s="62"/>
      <c r="C66" s="62"/>
      <c r="D66" s="62"/>
      <c r="E66" s="62"/>
      <c r="F66" s="62"/>
      <c r="G66" s="62"/>
      <c r="H66" s="62"/>
      <c r="I66" s="62"/>
      <c r="J66" s="62"/>
      <c r="K66" s="62"/>
      <c r="L66" s="62"/>
      <c r="M66" s="62"/>
    </row>
    <row r="67" spans="1:13" ht="12" customHeight="1">
      <c r="A67" s="61" t="s">
        <v>204</v>
      </c>
      <c r="B67" s="62"/>
      <c r="C67" s="62"/>
      <c r="D67" s="62"/>
      <c r="E67" s="62"/>
      <c r="F67" s="62"/>
      <c r="G67" s="62"/>
      <c r="H67" s="62"/>
      <c r="I67" s="62"/>
      <c r="J67" s="62"/>
      <c r="K67" s="62"/>
      <c r="L67" s="62"/>
      <c r="M67" s="62"/>
    </row>
    <row r="68" spans="1:13" ht="12" customHeight="1">
      <c r="A68" s="61" t="s">
        <v>205</v>
      </c>
      <c r="B68" s="62"/>
      <c r="C68" s="62"/>
      <c r="D68" s="62"/>
      <c r="E68" s="62"/>
      <c r="F68" s="62"/>
      <c r="G68" s="62"/>
      <c r="H68" s="62"/>
      <c r="I68" s="62"/>
      <c r="J68" s="62"/>
      <c r="K68" s="62"/>
      <c r="L68" s="62"/>
      <c r="M68" s="62"/>
    </row>
    <row r="69" spans="1:13" ht="12" customHeight="1">
      <c r="A69" s="61" t="s">
        <v>206</v>
      </c>
      <c r="B69" s="62"/>
      <c r="C69" s="62"/>
      <c r="D69" s="62"/>
      <c r="E69" s="62"/>
      <c r="F69" s="62"/>
      <c r="G69" s="62"/>
      <c r="H69" s="62"/>
      <c r="I69" s="62"/>
      <c r="J69" s="62"/>
      <c r="K69" s="62"/>
      <c r="L69" s="62"/>
      <c r="M69" s="62"/>
    </row>
    <row r="70" spans="1:13" ht="12" customHeight="1">
      <c r="A70" s="61" t="s">
        <v>207</v>
      </c>
      <c r="B70" s="62"/>
      <c r="C70" s="62"/>
      <c r="D70" s="62"/>
      <c r="E70" s="62"/>
      <c r="F70" s="62"/>
      <c r="G70" s="62"/>
      <c r="H70" s="62"/>
      <c r="I70" s="62"/>
      <c r="J70" s="62"/>
      <c r="K70" s="62"/>
      <c r="L70" s="62"/>
      <c r="M70" s="62"/>
    </row>
    <row r="71" spans="1:13" ht="12" customHeight="1">
      <c r="A71" s="61" t="s">
        <v>208</v>
      </c>
      <c r="B71" s="62"/>
      <c r="C71" s="62"/>
      <c r="D71" s="62"/>
      <c r="E71" s="62"/>
      <c r="F71" s="62"/>
      <c r="G71" s="62"/>
      <c r="H71" s="62"/>
      <c r="I71" s="62"/>
      <c r="J71" s="62"/>
      <c r="K71" s="62"/>
      <c r="L71" s="62"/>
      <c r="M71" s="62"/>
    </row>
    <row r="72" spans="1:13" ht="12" customHeight="1">
      <c r="A72" s="61" t="s">
        <v>214</v>
      </c>
      <c r="B72" s="62"/>
      <c r="C72" s="62"/>
      <c r="D72" s="62"/>
      <c r="E72" s="62"/>
      <c r="F72" s="62"/>
      <c r="G72" s="62"/>
      <c r="H72" s="62"/>
      <c r="I72" s="62"/>
      <c r="J72" s="62"/>
      <c r="K72" s="62"/>
      <c r="L72" s="62"/>
      <c r="M72" s="62"/>
    </row>
    <row r="73" spans="1:13" ht="12" customHeight="1">
      <c r="A73" s="61" t="s">
        <v>215</v>
      </c>
      <c r="B73" s="62"/>
      <c r="C73" s="62"/>
      <c r="D73" s="62"/>
      <c r="E73" s="62"/>
      <c r="F73" s="62"/>
      <c r="G73" s="62"/>
      <c r="H73" s="62"/>
      <c r="I73" s="62"/>
      <c r="J73" s="62"/>
      <c r="K73" s="62"/>
      <c r="L73" s="62"/>
      <c r="M73" s="62"/>
    </row>
    <row r="74" spans="1:13" ht="12" customHeight="1">
      <c r="A74" s="61" t="s">
        <v>216</v>
      </c>
      <c r="B74" s="62"/>
      <c r="C74" s="62"/>
      <c r="D74" s="62"/>
      <c r="E74" s="62"/>
      <c r="F74" s="62"/>
      <c r="G74" s="62"/>
      <c r="H74" s="62"/>
      <c r="I74" s="62"/>
      <c r="J74" s="62"/>
      <c r="K74" s="62"/>
      <c r="L74" s="62"/>
      <c r="M74" s="62"/>
    </row>
    <row r="75" spans="1:13" ht="12" customHeight="1">
      <c r="B75" s="84" t="str">
        <f>Table_4.0_Information!$A$9</f>
        <v>6 add state in table 0</v>
      </c>
      <c r="C75" s="84"/>
      <c r="D75" s="84"/>
      <c r="E75" s="84"/>
      <c r="F75" s="84"/>
      <c r="G75" s="84"/>
      <c r="H75" s="84"/>
      <c r="I75" s="84"/>
      <c r="J75" s="84"/>
      <c r="K75" s="84"/>
      <c r="L75" s="84"/>
      <c r="M75" s="84"/>
    </row>
    <row r="76" spans="1:13" ht="12" customHeight="1">
      <c r="A76" s="58" t="s">
        <v>199</v>
      </c>
      <c r="B76" s="59" t="s">
        <v>200</v>
      </c>
      <c r="C76" s="59" t="s">
        <v>201</v>
      </c>
      <c r="D76" s="60" t="s">
        <v>298</v>
      </c>
      <c r="E76" s="60" t="s">
        <v>299</v>
      </c>
      <c r="F76" s="59" t="s">
        <v>204</v>
      </c>
      <c r="G76" s="59" t="s">
        <v>205</v>
      </c>
      <c r="H76" s="59" t="s">
        <v>206</v>
      </c>
      <c r="I76" s="59" t="s">
        <v>207</v>
      </c>
      <c r="J76" s="59" t="s">
        <v>208</v>
      </c>
      <c r="K76" s="60" t="s">
        <v>300</v>
      </c>
      <c r="L76" s="60" t="s">
        <v>301</v>
      </c>
      <c r="M76" s="60" t="s">
        <v>302</v>
      </c>
    </row>
    <row r="77" spans="1:13" ht="12" customHeight="1">
      <c r="A77" s="61" t="s">
        <v>200</v>
      </c>
      <c r="B77" s="62"/>
      <c r="C77" s="62"/>
      <c r="D77" s="62"/>
      <c r="E77" s="62"/>
      <c r="F77" s="62"/>
      <c r="G77" s="62"/>
      <c r="H77" s="62"/>
      <c r="I77" s="62"/>
      <c r="J77" s="62"/>
      <c r="K77" s="62"/>
      <c r="L77" s="62"/>
      <c r="M77" s="62"/>
    </row>
    <row r="78" spans="1:13" ht="12" customHeight="1">
      <c r="A78" s="61" t="s">
        <v>201</v>
      </c>
      <c r="B78" s="62"/>
      <c r="C78" s="62"/>
      <c r="D78" s="62"/>
      <c r="E78" s="62"/>
      <c r="F78" s="62"/>
      <c r="G78" s="62"/>
      <c r="H78" s="62"/>
      <c r="I78" s="62"/>
      <c r="J78" s="62"/>
      <c r="K78" s="62"/>
      <c r="L78" s="62"/>
      <c r="M78" s="62"/>
    </row>
    <row r="79" spans="1:13" ht="12" customHeight="1">
      <c r="A79" s="63" t="s">
        <v>212</v>
      </c>
      <c r="B79" s="62"/>
      <c r="C79" s="62"/>
      <c r="D79" s="62"/>
      <c r="E79" s="62"/>
      <c r="F79" s="62"/>
      <c r="G79" s="62"/>
      <c r="H79" s="62"/>
      <c r="I79" s="62"/>
      <c r="J79" s="62"/>
      <c r="K79" s="62"/>
      <c r="L79" s="62"/>
      <c r="M79" s="62"/>
    </row>
    <row r="80" spans="1:13" ht="12" customHeight="1">
      <c r="A80" s="61" t="s">
        <v>213</v>
      </c>
      <c r="B80" s="62"/>
      <c r="C80" s="62"/>
      <c r="D80" s="62"/>
      <c r="E80" s="62"/>
      <c r="F80" s="62"/>
      <c r="G80" s="62"/>
      <c r="H80" s="62"/>
      <c r="I80" s="62"/>
      <c r="J80" s="62"/>
      <c r="K80" s="62"/>
      <c r="L80" s="62"/>
      <c r="M80" s="62"/>
    </row>
    <row r="81" spans="1:13" ht="12" customHeight="1">
      <c r="A81" s="61" t="s">
        <v>204</v>
      </c>
      <c r="B81" s="62"/>
      <c r="C81" s="62"/>
      <c r="D81" s="62"/>
      <c r="E81" s="62"/>
      <c r="F81" s="62"/>
      <c r="G81" s="62"/>
      <c r="H81" s="62"/>
      <c r="I81" s="62"/>
      <c r="J81" s="62"/>
      <c r="K81" s="62"/>
      <c r="L81" s="62"/>
      <c r="M81" s="62"/>
    </row>
    <row r="82" spans="1:13" ht="12" customHeight="1">
      <c r="A82" s="61" t="s">
        <v>205</v>
      </c>
      <c r="B82" s="62"/>
      <c r="C82" s="62"/>
      <c r="D82" s="62"/>
      <c r="E82" s="62"/>
      <c r="F82" s="62"/>
      <c r="G82" s="62"/>
      <c r="H82" s="62"/>
      <c r="I82" s="62"/>
      <c r="J82" s="62"/>
      <c r="K82" s="62"/>
      <c r="L82" s="62"/>
      <c r="M82" s="62"/>
    </row>
    <row r="83" spans="1:13" ht="12" customHeight="1">
      <c r="A83" s="61" t="s">
        <v>206</v>
      </c>
      <c r="B83" s="62"/>
      <c r="C83" s="62"/>
      <c r="D83" s="62"/>
      <c r="E83" s="62"/>
      <c r="F83" s="62"/>
      <c r="G83" s="62"/>
      <c r="H83" s="62"/>
      <c r="I83" s="62"/>
      <c r="J83" s="62"/>
      <c r="K83" s="62"/>
      <c r="L83" s="62"/>
      <c r="M83" s="62"/>
    </row>
    <row r="84" spans="1:13" ht="12" customHeight="1">
      <c r="A84" s="61" t="s">
        <v>207</v>
      </c>
      <c r="B84" s="62"/>
      <c r="C84" s="62"/>
      <c r="D84" s="62"/>
      <c r="E84" s="62"/>
      <c r="F84" s="62"/>
      <c r="G84" s="62"/>
      <c r="H84" s="62"/>
      <c r="I84" s="62"/>
      <c r="J84" s="62"/>
      <c r="K84" s="62"/>
      <c r="L84" s="62"/>
      <c r="M84" s="62"/>
    </row>
    <row r="85" spans="1:13" ht="12" customHeight="1">
      <c r="A85" s="61" t="s">
        <v>208</v>
      </c>
      <c r="B85" s="62"/>
      <c r="C85" s="62"/>
      <c r="D85" s="62"/>
      <c r="E85" s="62"/>
      <c r="F85" s="62"/>
      <c r="G85" s="62"/>
      <c r="H85" s="62"/>
      <c r="I85" s="62"/>
      <c r="J85" s="62"/>
      <c r="K85" s="62"/>
      <c r="L85" s="62"/>
      <c r="M85" s="62"/>
    </row>
    <row r="86" spans="1:13" ht="12" customHeight="1">
      <c r="A86" s="61" t="s">
        <v>214</v>
      </c>
      <c r="B86" s="62"/>
      <c r="C86" s="62"/>
      <c r="D86" s="62"/>
      <c r="E86" s="62"/>
      <c r="F86" s="62"/>
      <c r="G86" s="62"/>
      <c r="H86" s="62"/>
      <c r="I86" s="62"/>
      <c r="J86" s="62"/>
      <c r="K86" s="62"/>
      <c r="L86" s="62"/>
      <c r="M86" s="62"/>
    </row>
    <row r="87" spans="1:13" ht="12" customHeight="1">
      <c r="A87" s="61" t="s">
        <v>215</v>
      </c>
      <c r="B87" s="62"/>
      <c r="C87" s="62"/>
      <c r="D87" s="62"/>
      <c r="E87" s="62"/>
      <c r="F87" s="62"/>
      <c r="G87" s="62"/>
      <c r="H87" s="62"/>
      <c r="I87" s="62"/>
      <c r="J87" s="62"/>
      <c r="K87" s="62"/>
      <c r="L87" s="62"/>
      <c r="M87" s="62"/>
    </row>
    <row r="88" spans="1:13" ht="12" customHeight="1">
      <c r="A88" s="61" t="s">
        <v>216</v>
      </c>
      <c r="B88" s="62"/>
      <c r="C88" s="62"/>
      <c r="D88" s="62"/>
      <c r="E88" s="62"/>
      <c r="F88" s="62"/>
      <c r="G88" s="62"/>
      <c r="H88" s="62"/>
      <c r="I88" s="62"/>
      <c r="J88" s="62"/>
      <c r="K88" s="62"/>
      <c r="L88" s="62"/>
      <c r="M88" s="62"/>
    </row>
    <row r="89" spans="1:13" ht="12" customHeight="1">
      <c r="B89" s="84" t="str">
        <f>Table_4.0_Information!$A$10</f>
        <v>7 add state in table 0</v>
      </c>
      <c r="C89" s="84"/>
      <c r="D89" s="84"/>
      <c r="E89" s="84"/>
      <c r="F89" s="84"/>
      <c r="G89" s="84"/>
      <c r="H89" s="84"/>
      <c r="I89" s="84"/>
      <c r="J89" s="84"/>
      <c r="K89" s="84"/>
      <c r="L89" s="84"/>
      <c r="M89" s="84"/>
    </row>
    <row r="90" spans="1:13" ht="12" customHeight="1">
      <c r="A90" s="58" t="s">
        <v>199</v>
      </c>
      <c r="B90" s="59" t="s">
        <v>200</v>
      </c>
      <c r="C90" s="59" t="s">
        <v>201</v>
      </c>
      <c r="D90" s="60" t="s">
        <v>298</v>
      </c>
      <c r="E90" s="60" t="s">
        <v>299</v>
      </c>
      <c r="F90" s="59" t="s">
        <v>204</v>
      </c>
      <c r="G90" s="59" t="s">
        <v>205</v>
      </c>
      <c r="H90" s="59" t="s">
        <v>206</v>
      </c>
      <c r="I90" s="59" t="s">
        <v>207</v>
      </c>
      <c r="J90" s="59" t="s">
        <v>208</v>
      </c>
      <c r="K90" s="60" t="s">
        <v>300</v>
      </c>
      <c r="L90" s="60" t="s">
        <v>301</v>
      </c>
      <c r="M90" s="60" t="s">
        <v>302</v>
      </c>
    </row>
    <row r="91" spans="1:13" ht="12" customHeight="1">
      <c r="A91" s="61" t="s">
        <v>200</v>
      </c>
      <c r="B91" s="62"/>
      <c r="C91" s="62"/>
      <c r="D91" s="62"/>
      <c r="E91" s="62"/>
      <c r="F91" s="62"/>
      <c r="G91" s="62"/>
      <c r="H91" s="62"/>
      <c r="I91" s="62"/>
      <c r="J91" s="62"/>
      <c r="K91" s="62"/>
      <c r="L91" s="62"/>
      <c r="M91" s="62"/>
    </row>
    <row r="92" spans="1:13" ht="12" customHeight="1">
      <c r="A92" s="61" t="s">
        <v>201</v>
      </c>
      <c r="B92" s="62"/>
      <c r="C92" s="62"/>
      <c r="D92" s="62"/>
      <c r="E92" s="62"/>
      <c r="F92" s="62"/>
      <c r="G92" s="62"/>
      <c r="H92" s="62"/>
      <c r="I92" s="62"/>
      <c r="J92" s="62"/>
      <c r="K92" s="62"/>
      <c r="L92" s="62"/>
      <c r="M92" s="62"/>
    </row>
    <row r="93" spans="1:13" ht="12" customHeight="1">
      <c r="A93" s="63" t="s">
        <v>212</v>
      </c>
      <c r="B93" s="62"/>
      <c r="C93" s="62"/>
      <c r="D93" s="62"/>
      <c r="E93" s="62"/>
      <c r="F93" s="62"/>
      <c r="G93" s="62"/>
      <c r="H93" s="62"/>
      <c r="I93" s="62"/>
      <c r="J93" s="62"/>
      <c r="K93" s="62"/>
      <c r="L93" s="62"/>
      <c r="M93" s="62"/>
    </row>
    <row r="94" spans="1:13" ht="12" customHeight="1">
      <c r="A94" s="61" t="s">
        <v>213</v>
      </c>
      <c r="B94" s="62"/>
      <c r="C94" s="62"/>
      <c r="D94" s="62"/>
      <c r="E94" s="62"/>
      <c r="F94" s="62"/>
      <c r="G94" s="62"/>
      <c r="H94" s="62"/>
      <c r="I94" s="62"/>
      <c r="J94" s="62"/>
      <c r="K94" s="62"/>
      <c r="L94" s="62"/>
      <c r="M94" s="62"/>
    </row>
    <row r="95" spans="1:13" ht="12" customHeight="1">
      <c r="A95" s="61" t="s">
        <v>204</v>
      </c>
      <c r="B95" s="62"/>
      <c r="C95" s="62"/>
      <c r="D95" s="62"/>
      <c r="E95" s="62"/>
      <c r="F95" s="62"/>
      <c r="G95" s="62"/>
      <c r="H95" s="62"/>
      <c r="I95" s="62"/>
      <c r="J95" s="62"/>
      <c r="K95" s="62"/>
      <c r="L95" s="62"/>
      <c r="M95" s="62"/>
    </row>
    <row r="96" spans="1:13" ht="12" customHeight="1">
      <c r="A96" s="61" t="s">
        <v>205</v>
      </c>
      <c r="B96" s="62"/>
      <c r="C96" s="62"/>
      <c r="D96" s="62"/>
      <c r="E96" s="62"/>
      <c r="F96" s="62"/>
      <c r="G96" s="62"/>
      <c r="H96" s="62"/>
      <c r="I96" s="62"/>
      <c r="J96" s="62"/>
      <c r="K96" s="62"/>
      <c r="L96" s="62"/>
      <c r="M96" s="62"/>
    </row>
    <row r="97" spans="1:13" ht="12" customHeight="1">
      <c r="A97" s="61" t="s">
        <v>206</v>
      </c>
      <c r="B97" s="62"/>
      <c r="C97" s="62"/>
      <c r="D97" s="62"/>
      <c r="E97" s="62"/>
      <c r="F97" s="62"/>
      <c r="G97" s="62"/>
      <c r="H97" s="62"/>
      <c r="I97" s="62"/>
      <c r="J97" s="62"/>
      <c r="K97" s="62"/>
      <c r="L97" s="62"/>
      <c r="M97" s="62"/>
    </row>
    <row r="98" spans="1:13" ht="12" customHeight="1">
      <c r="A98" s="61" t="s">
        <v>207</v>
      </c>
      <c r="B98" s="62"/>
      <c r="C98" s="62"/>
      <c r="D98" s="62"/>
      <c r="E98" s="62"/>
      <c r="F98" s="62"/>
      <c r="G98" s="62"/>
      <c r="H98" s="62"/>
      <c r="I98" s="62"/>
      <c r="J98" s="62"/>
      <c r="K98" s="62"/>
      <c r="L98" s="62"/>
      <c r="M98" s="62"/>
    </row>
    <row r="99" spans="1:13" ht="12" customHeight="1">
      <c r="A99" s="61" t="s">
        <v>208</v>
      </c>
      <c r="B99" s="62"/>
      <c r="C99" s="62"/>
      <c r="D99" s="62"/>
      <c r="E99" s="62"/>
      <c r="F99" s="62"/>
      <c r="G99" s="62"/>
      <c r="H99" s="62"/>
      <c r="I99" s="62"/>
      <c r="J99" s="62"/>
      <c r="K99" s="62"/>
      <c r="L99" s="62"/>
      <c r="M99" s="62"/>
    </row>
    <row r="100" spans="1:13" ht="12" customHeight="1">
      <c r="A100" s="61" t="s">
        <v>214</v>
      </c>
      <c r="B100" s="62"/>
      <c r="C100" s="62"/>
      <c r="D100" s="62"/>
      <c r="E100" s="62"/>
      <c r="F100" s="62"/>
      <c r="G100" s="62"/>
      <c r="H100" s="62"/>
      <c r="I100" s="62"/>
      <c r="J100" s="62"/>
      <c r="K100" s="62"/>
      <c r="L100" s="62"/>
      <c r="M100" s="62"/>
    </row>
    <row r="101" spans="1:13" ht="12" customHeight="1">
      <c r="A101" s="61" t="s">
        <v>215</v>
      </c>
      <c r="B101" s="62"/>
      <c r="C101" s="62"/>
      <c r="D101" s="62"/>
      <c r="E101" s="62"/>
      <c r="F101" s="62"/>
      <c r="G101" s="62"/>
      <c r="H101" s="62"/>
      <c r="I101" s="62"/>
      <c r="J101" s="62"/>
      <c r="K101" s="62"/>
      <c r="L101" s="62"/>
      <c r="M101" s="62"/>
    </row>
    <row r="102" spans="1:13" ht="12" customHeight="1">
      <c r="A102" s="61" t="s">
        <v>216</v>
      </c>
      <c r="B102" s="62"/>
      <c r="C102" s="62"/>
      <c r="D102" s="62"/>
      <c r="E102" s="62"/>
      <c r="F102" s="62"/>
      <c r="G102" s="62"/>
      <c r="H102" s="62"/>
      <c r="I102" s="62"/>
      <c r="J102" s="62"/>
      <c r="K102" s="62"/>
      <c r="L102" s="62"/>
      <c r="M102" s="62"/>
    </row>
    <row r="103" spans="1:13" ht="12" customHeight="1">
      <c r="B103" s="84" t="str">
        <f>Table_4.0_Information!$A$11</f>
        <v>8 add state in table 0</v>
      </c>
      <c r="C103" s="84"/>
      <c r="D103" s="84"/>
      <c r="E103" s="84"/>
      <c r="F103" s="84"/>
      <c r="G103" s="84"/>
      <c r="H103" s="84"/>
      <c r="I103" s="84"/>
      <c r="J103" s="84"/>
      <c r="K103" s="84"/>
      <c r="L103" s="84"/>
      <c r="M103" s="84"/>
    </row>
    <row r="104" spans="1:13" ht="12" customHeight="1">
      <c r="A104" s="58" t="s">
        <v>199</v>
      </c>
      <c r="B104" s="59" t="s">
        <v>200</v>
      </c>
      <c r="C104" s="59" t="s">
        <v>201</v>
      </c>
      <c r="D104" s="60" t="s">
        <v>298</v>
      </c>
      <c r="E104" s="60" t="s">
        <v>299</v>
      </c>
      <c r="F104" s="59" t="s">
        <v>204</v>
      </c>
      <c r="G104" s="59" t="s">
        <v>205</v>
      </c>
      <c r="H104" s="59" t="s">
        <v>206</v>
      </c>
      <c r="I104" s="59" t="s">
        <v>207</v>
      </c>
      <c r="J104" s="59" t="s">
        <v>208</v>
      </c>
      <c r="K104" s="60" t="s">
        <v>300</v>
      </c>
      <c r="L104" s="60" t="s">
        <v>301</v>
      </c>
      <c r="M104" s="60" t="s">
        <v>302</v>
      </c>
    </row>
    <row r="105" spans="1:13" ht="12" customHeight="1">
      <c r="A105" s="61" t="s">
        <v>200</v>
      </c>
      <c r="B105" s="62"/>
      <c r="C105" s="62"/>
      <c r="D105" s="62"/>
      <c r="E105" s="62"/>
      <c r="F105" s="62"/>
      <c r="G105" s="62"/>
      <c r="H105" s="62"/>
      <c r="I105" s="62"/>
      <c r="J105" s="62"/>
      <c r="K105" s="62"/>
      <c r="L105" s="62"/>
      <c r="M105" s="62"/>
    </row>
    <row r="106" spans="1:13" ht="12" customHeight="1">
      <c r="A106" s="61" t="s">
        <v>201</v>
      </c>
      <c r="B106" s="62"/>
      <c r="C106" s="62"/>
      <c r="D106" s="62"/>
      <c r="E106" s="62"/>
      <c r="F106" s="62"/>
      <c r="G106" s="62"/>
      <c r="H106" s="62"/>
      <c r="I106" s="62"/>
      <c r="J106" s="62"/>
      <c r="K106" s="62"/>
      <c r="L106" s="62"/>
      <c r="M106" s="62"/>
    </row>
    <row r="107" spans="1:13" ht="12" customHeight="1">
      <c r="A107" s="63" t="s">
        <v>212</v>
      </c>
      <c r="B107" s="62"/>
      <c r="C107" s="62"/>
      <c r="D107" s="62"/>
      <c r="E107" s="62"/>
      <c r="F107" s="62"/>
      <c r="G107" s="62"/>
      <c r="H107" s="62"/>
      <c r="I107" s="62"/>
      <c r="J107" s="62"/>
      <c r="K107" s="62"/>
      <c r="L107" s="62"/>
      <c r="M107" s="62"/>
    </row>
    <row r="108" spans="1:13" ht="12" customHeight="1">
      <c r="A108" s="61" t="s">
        <v>213</v>
      </c>
      <c r="B108" s="62"/>
      <c r="C108" s="62"/>
      <c r="D108" s="62"/>
      <c r="E108" s="62"/>
      <c r="F108" s="62"/>
      <c r="G108" s="62"/>
      <c r="H108" s="62"/>
      <c r="I108" s="62"/>
      <c r="J108" s="62"/>
      <c r="K108" s="62"/>
      <c r="L108" s="62"/>
      <c r="M108" s="62"/>
    </row>
    <row r="109" spans="1:13" ht="12" customHeight="1">
      <c r="A109" s="61" t="s">
        <v>204</v>
      </c>
      <c r="B109" s="62"/>
      <c r="C109" s="62"/>
      <c r="D109" s="62"/>
      <c r="E109" s="62"/>
      <c r="F109" s="62"/>
      <c r="G109" s="62"/>
      <c r="H109" s="62"/>
      <c r="I109" s="62"/>
      <c r="J109" s="62"/>
      <c r="K109" s="62"/>
      <c r="L109" s="62"/>
      <c r="M109" s="62"/>
    </row>
    <row r="110" spans="1:13" ht="12" customHeight="1">
      <c r="A110" s="61" t="s">
        <v>205</v>
      </c>
      <c r="B110" s="62"/>
      <c r="C110" s="62"/>
      <c r="D110" s="62"/>
      <c r="E110" s="62"/>
      <c r="F110" s="62"/>
      <c r="G110" s="62"/>
      <c r="H110" s="62"/>
      <c r="I110" s="62"/>
      <c r="J110" s="62"/>
      <c r="K110" s="62"/>
      <c r="L110" s="62"/>
      <c r="M110" s="62"/>
    </row>
    <row r="111" spans="1:13" ht="12" customHeight="1">
      <c r="A111" s="61" t="s">
        <v>206</v>
      </c>
      <c r="B111" s="62"/>
      <c r="C111" s="62"/>
      <c r="D111" s="62"/>
      <c r="E111" s="62"/>
      <c r="F111" s="62"/>
      <c r="G111" s="62"/>
      <c r="H111" s="62"/>
      <c r="I111" s="62"/>
      <c r="J111" s="62"/>
      <c r="K111" s="62"/>
      <c r="L111" s="62"/>
      <c r="M111" s="62"/>
    </row>
    <row r="112" spans="1:13" ht="12" customHeight="1">
      <c r="A112" s="61" t="s">
        <v>207</v>
      </c>
      <c r="B112" s="62"/>
      <c r="C112" s="62"/>
      <c r="D112" s="62"/>
      <c r="E112" s="62"/>
      <c r="F112" s="62"/>
      <c r="G112" s="62"/>
      <c r="H112" s="62"/>
      <c r="I112" s="62"/>
      <c r="J112" s="62"/>
      <c r="K112" s="62"/>
      <c r="L112" s="62"/>
      <c r="M112" s="62"/>
    </row>
    <row r="113" spans="1:13" ht="12" customHeight="1">
      <c r="A113" s="61" t="s">
        <v>208</v>
      </c>
      <c r="B113" s="62"/>
      <c r="C113" s="62"/>
      <c r="D113" s="62"/>
      <c r="E113" s="62"/>
      <c r="F113" s="62"/>
      <c r="G113" s="62"/>
      <c r="H113" s="62"/>
      <c r="I113" s="62"/>
      <c r="J113" s="62"/>
      <c r="K113" s="62"/>
      <c r="L113" s="62"/>
      <c r="M113" s="62"/>
    </row>
    <row r="114" spans="1:13" ht="12" customHeight="1">
      <c r="A114" s="61" t="s">
        <v>214</v>
      </c>
      <c r="B114" s="62"/>
      <c r="C114" s="62"/>
      <c r="D114" s="62"/>
      <c r="E114" s="62"/>
      <c r="F114" s="62"/>
      <c r="G114" s="62"/>
      <c r="H114" s="62"/>
      <c r="I114" s="62"/>
      <c r="J114" s="62"/>
      <c r="K114" s="62"/>
      <c r="L114" s="62"/>
      <c r="M114" s="62"/>
    </row>
    <row r="115" spans="1:13" ht="12" customHeight="1">
      <c r="A115" s="61" t="s">
        <v>215</v>
      </c>
      <c r="B115" s="62"/>
      <c r="C115" s="62"/>
      <c r="D115" s="62"/>
      <c r="E115" s="62"/>
      <c r="F115" s="62"/>
      <c r="G115" s="62"/>
      <c r="H115" s="62"/>
      <c r="I115" s="62"/>
      <c r="J115" s="62"/>
      <c r="K115" s="62"/>
      <c r="L115" s="62"/>
      <c r="M115" s="62"/>
    </row>
    <row r="116" spans="1:13" ht="12" customHeight="1">
      <c r="A116" s="61" t="s">
        <v>216</v>
      </c>
      <c r="B116" s="62"/>
      <c r="C116" s="62"/>
      <c r="D116" s="62"/>
      <c r="E116" s="62"/>
      <c r="F116" s="62"/>
      <c r="G116" s="62"/>
      <c r="H116" s="62"/>
      <c r="I116" s="62"/>
      <c r="J116" s="62"/>
      <c r="K116" s="62"/>
      <c r="L116" s="62"/>
      <c r="M116" s="62"/>
    </row>
    <row r="117" spans="1:13" ht="12" customHeight="1">
      <c r="B117" s="84" t="str">
        <f>Table_4.0_Information!$A$12</f>
        <v>9 add state in table 0</v>
      </c>
      <c r="C117" s="84"/>
      <c r="D117" s="84"/>
      <c r="E117" s="84"/>
      <c r="F117" s="84"/>
      <c r="G117" s="84"/>
      <c r="H117" s="84"/>
      <c r="I117" s="84"/>
      <c r="J117" s="84"/>
      <c r="K117" s="84"/>
      <c r="L117" s="84"/>
      <c r="M117" s="84"/>
    </row>
    <row r="118" spans="1:13" ht="12" customHeight="1">
      <c r="A118" s="58" t="s">
        <v>199</v>
      </c>
      <c r="B118" s="59" t="s">
        <v>200</v>
      </c>
      <c r="C118" s="59" t="s">
        <v>201</v>
      </c>
      <c r="D118" s="60" t="s">
        <v>298</v>
      </c>
      <c r="E118" s="60" t="s">
        <v>299</v>
      </c>
      <c r="F118" s="59" t="s">
        <v>204</v>
      </c>
      <c r="G118" s="59" t="s">
        <v>205</v>
      </c>
      <c r="H118" s="59" t="s">
        <v>206</v>
      </c>
      <c r="I118" s="59" t="s">
        <v>207</v>
      </c>
      <c r="J118" s="59" t="s">
        <v>208</v>
      </c>
      <c r="K118" s="60" t="s">
        <v>300</v>
      </c>
      <c r="L118" s="60" t="s">
        <v>301</v>
      </c>
      <c r="M118" s="60" t="s">
        <v>302</v>
      </c>
    </row>
    <row r="119" spans="1:13" ht="12" customHeight="1">
      <c r="A119" s="61" t="s">
        <v>200</v>
      </c>
      <c r="B119" s="62"/>
      <c r="C119" s="62"/>
      <c r="D119" s="62"/>
      <c r="E119" s="62"/>
      <c r="F119" s="62"/>
      <c r="G119" s="62"/>
      <c r="H119" s="62"/>
      <c r="I119" s="62"/>
      <c r="J119" s="62"/>
      <c r="K119" s="62"/>
      <c r="L119" s="62"/>
      <c r="M119" s="62"/>
    </row>
    <row r="120" spans="1:13" ht="12" customHeight="1">
      <c r="A120" s="61" t="s">
        <v>201</v>
      </c>
      <c r="B120" s="62"/>
      <c r="C120" s="62"/>
      <c r="D120" s="62"/>
      <c r="E120" s="62"/>
      <c r="F120" s="62"/>
      <c r="G120" s="62"/>
      <c r="H120" s="62"/>
      <c r="I120" s="62"/>
      <c r="J120" s="62"/>
      <c r="K120" s="62"/>
      <c r="L120" s="62"/>
      <c r="M120" s="62"/>
    </row>
    <row r="121" spans="1:13" ht="12" customHeight="1">
      <c r="A121" s="63" t="s">
        <v>212</v>
      </c>
      <c r="B121" s="62"/>
      <c r="C121" s="62"/>
      <c r="D121" s="62"/>
      <c r="E121" s="62"/>
      <c r="F121" s="62"/>
      <c r="G121" s="62"/>
      <c r="H121" s="62"/>
      <c r="I121" s="62"/>
      <c r="J121" s="62"/>
      <c r="K121" s="62"/>
      <c r="L121" s="62"/>
      <c r="M121" s="62"/>
    </row>
    <row r="122" spans="1:13" ht="12" customHeight="1">
      <c r="A122" s="61" t="s">
        <v>213</v>
      </c>
      <c r="B122" s="62"/>
      <c r="C122" s="62"/>
      <c r="D122" s="62"/>
      <c r="E122" s="62"/>
      <c r="F122" s="62"/>
      <c r="G122" s="62"/>
      <c r="H122" s="62"/>
      <c r="I122" s="62"/>
      <c r="J122" s="62"/>
      <c r="K122" s="62"/>
      <c r="L122" s="62"/>
      <c r="M122" s="62"/>
    </row>
    <row r="123" spans="1:13" ht="12" customHeight="1">
      <c r="A123" s="61" t="s">
        <v>204</v>
      </c>
      <c r="B123" s="62"/>
      <c r="C123" s="62"/>
      <c r="D123" s="62"/>
      <c r="E123" s="62"/>
      <c r="F123" s="62"/>
      <c r="G123" s="62"/>
      <c r="H123" s="62"/>
      <c r="I123" s="62"/>
      <c r="J123" s="62"/>
      <c r="K123" s="62"/>
      <c r="L123" s="62"/>
      <c r="M123" s="62"/>
    </row>
    <row r="124" spans="1:13" ht="12" customHeight="1">
      <c r="A124" s="61" t="s">
        <v>205</v>
      </c>
      <c r="B124" s="62"/>
      <c r="C124" s="62"/>
      <c r="D124" s="62"/>
      <c r="E124" s="62"/>
      <c r="F124" s="62"/>
      <c r="G124" s="62"/>
      <c r="H124" s="62"/>
      <c r="I124" s="62"/>
      <c r="J124" s="62"/>
      <c r="K124" s="62"/>
      <c r="L124" s="62"/>
      <c r="M124" s="62"/>
    </row>
    <row r="125" spans="1:13" ht="12" customHeight="1">
      <c r="A125" s="61" t="s">
        <v>206</v>
      </c>
      <c r="B125" s="62"/>
      <c r="C125" s="62"/>
      <c r="D125" s="62"/>
      <c r="E125" s="62"/>
      <c r="F125" s="62"/>
      <c r="G125" s="62"/>
      <c r="H125" s="62"/>
      <c r="I125" s="62"/>
      <c r="J125" s="62"/>
      <c r="K125" s="62"/>
      <c r="L125" s="62"/>
      <c r="M125" s="62"/>
    </row>
    <row r="126" spans="1:13" ht="12" customHeight="1">
      <c r="A126" s="61" t="s">
        <v>207</v>
      </c>
      <c r="B126" s="62"/>
      <c r="C126" s="62"/>
      <c r="D126" s="62"/>
      <c r="E126" s="62"/>
      <c r="F126" s="62"/>
      <c r="G126" s="62"/>
      <c r="H126" s="62"/>
      <c r="I126" s="62"/>
      <c r="J126" s="62"/>
      <c r="K126" s="62"/>
      <c r="L126" s="62"/>
      <c r="M126" s="62"/>
    </row>
    <row r="127" spans="1:13" ht="12" customHeight="1">
      <c r="A127" s="61" t="s">
        <v>208</v>
      </c>
      <c r="B127" s="62"/>
      <c r="C127" s="62"/>
      <c r="D127" s="62"/>
      <c r="E127" s="62"/>
      <c r="F127" s="62"/>
      <c r="G127" s="62"/>
      <c r="H127" s="62"/>
      <c r="I127" s="62"/>
      <c r="J127" s="62"/>
      <c r="K127" s="62"/>
      <c r="L127" s="62"/>
      <c r="M127" s="62"/>
    </row>
    <row r="128" spans="1:13" ht="12" customHeight="1">
      <c r="A128" s="61" t="s">
        <v>214</v>
      </c>
      <c r="B128" s="62"/>
      <c r="C128" s="62"/>
      <c r="D128" s="62"/>
      <c r="E128" s="62"/>
      <c r="F128" s="62"/>
      <c r="G128" s="62"/>
      <c r="H128" s="62"/>
      <c r="I128" s="62"/>
      <c r="J128" s="62"/>
      <c r="K128" s="62"/>
      <c r="L128" s="62"/>
      <c r="M128" s="62"/>
    </row>
    <row r="129" spans="1:13" ht="12" customHeight="1">
      <c r="A129" s="61" t="s">
        <v>215</v>
      </c>
      <c r="B129" s="62"/>
      <c r="C129" s="62"/>
      <c r="D129" s="62"/>
      <c r="E129" s="62"/>
      <c r="F129" s="62"/>
      <c r="G129" s="62"/>
      <c r="H129" s="62"/>
      <c r="I129" s="62"/>
      <c r="J129" s="62"/>
      <c r="K129" s="62"/>
      <c r="L129" s="62"/>
      <c r="M129" s="62"/>
    </row>
    <row r="130" spans="1:13" ht="12" customHeight="1">
      <c r="A130" s="61" t="s">
        <v>216</v>
      </c>
      <c r="B130" s="62"/>
      <c r="C130" s="62"/>
      <c r="D130" s="62"/>
      <c r="E130" s="62"/>
      <c r="F130" s="62"/>
      <c r="G130" s="62"/>
      <c r="H130" s="62"/>
      <c r="I130" s="62"/>
      <c r="J130" s="62"/>
      <c r="K130" s="62"/>
      <c r="L130" s="62"/>
      <c r="M130" s="62"/>
    </row>
    <row r="131" spans="1:13" ht="12" customHeight="1">
      <c r="B131" s="84" t="str">
        <f>Table_4.0_Information!$A$13</f>
        <v>10 add state in table 0</v>
      </c>
      <c r="C131" s="84"/>
      <c r="D131" s="84"/>
      <c r="E131" s="84"/>
      <c r="F131" s="84"/>
      <c r="G131" s="84"/>
      <c r="H131" s="84"/>
      <c r="I131" s="84"/>
      <c r="J131" s="84"/>
      <c r="K131" s="84"/>
      <c r="L131" s="84"/>
      <c r="M131" s="84"/>
    </row>
    <row r="132" spans="1:13" ht="12" customHeight="1">
      <c r="A132" s="58" t="s">
        <v>199</v>
      </c>
      <c r="B132" s="59" t="s">
        <v>200</v>
      </c>
      <c r="C132" s="59" t="s">
        <v>201</v>
      </c>
      <c r="D132" s="60" t="s">
        <v>298</v>
      </c>
      <c r="E132" s="60" t="s">
        <v>299</v>
      </c>
      <c r="F132" s="59" t="s">
        <v>204</v>
      </c>
      <c r="G132" s="59" t="s">
        <v>205</v>
      </c>
      <c r="H132" s="59" t="s">
        <v>206</v>
      </c>
      <c r="I132" s="59" t="s">
        <v>207</v>
      </c>
      <c r="J132" s="59" t="s">
        <v>208</v>
      </c>
      <c r="K132" s="60" t="s">
        <v>300</v>
      </c>
      <c r="L132" s="60" t="s">
        <v>301</v>
      </c>
      <c r="M132" s="60" t="s">
        <v>302</v>
      </c>
    </row>
    <row r="133" spans="1:13" ht="12" customHeight="1">
      <c r="A133" s="61" t="s">
        <v>200</v>
      </c>
      <c r="B133" s="62"/>
      <c r="C133" s="62"/>
      <c r="D133" s="62"/>
      <c r="E133" s="62"/>
      <c r="F133" s="62"/>
      <c r="G133" s="62"/>
      <c r="H133" s="62"/>
      <c r="I133" s="62"/>
      <c r="J133" s="62"/>
      <c r="K133" s="62"/>
      <c r="L133" s="62"/>
      <c r="M133" s="62"/>
    </row>
    <row r="134" spans="1:13" ht="12" customHeight="1">
      <c r="A134" s="61" t="s">
        <v>201</v>
      </c>
      <c r="B134" s="62"/>
      <c r="C134" s="62"/>
      <c r="D134" s="62"/>
      <c r="E134" s="62"/>
      <c r="F134" s="62"/>
      <c r="G134" s="62"/>
      <c r="H134" s="62"/>
      <c r="I134" s="62"/>
      <c r="J134" s="62"/>
      <c r="K134" s="62"/>
      <c r="L134" s="62"/>
      <c r="M134" s="62"/>
    </row>
    <row r="135" spans="1:13" ht="12" customHeight="1">
      <c r="A135" s="63" t="s">
        <v>212</v>
      </c>
      <c r="B135" s="62"/>
      <c r="C135" s="62"/>
      <c r="D135" s="62"/>
      <c r="E135" s="62"/>
      <c r="F135" s="62"/>
      <c r="G135" s="62"/>
      <c r="H135" s="62"/>
      <c r="I135" s="62"/>
      <c r="J135" s="62"/>
      <c r="K135" s="62"/>
      <c r="L135" s="62"/>
      <c r="M135" s="62"/>
    </row>
    <row r="136" spans="1:13" ht="12" customHeight="1">
      <c r="A136" s="61" t="s">
        <v>213</v>
      </c>
      <c r="B136" s="62"/>
      <c r="C136" s="62"/>
      <c r="D136" s="62"/>
      <c r="E136" s="62"/>
      <c r="F136" s="62"/>
      <c r="G136" s="62"/>
      <c r="H136" s="62"/>
      <c r="I136" s="62"/>
      <c r="J136" s="62"/>
      <c r="K136" s="62"/>
      <c r="L136" s="62"/>
      <c r="M136" s="62"/>
    </row>
    <row r="137" spans="1:13" ht="12" customHeight="1">
      <c r="A137" s="61" t="s">
        <v>204</v>
      </c>
      <c r="B137" s="62"/>
      <c r="C137" s="62"/>
      <c r="D137" s="62"/>
      <c r="E137" s="62"/>
      <c r="F137" s="62"/>
      <c r="G137" s="62"/>
      <c r="H137" s="62"/>
      <c r="I137" s="62"/>
      <c r="J137" s="62"/>
      <c r="K137" s="62"/>
      <c r="L137" s="62"/>
      <c r="M137" s="62"/>
    </row>
    <row r="138" spans="1:13" ht="12" customHeight="1">
      <c r="A138" s="61" t="s">
        <v>205</v>
      </c>
      <c r="B138" s="62"/>
      <c r="C138" s="62"/>
      <c r="D138" s="62"/>
      <c r="E138" s="62"/>
      <c r="F138" s="62"/>
      <c r="G138" s="62"/>
      <c r="H138" s="62"/>
      <c r="I138" s="62"/>
      <c r="J138" s="62"/>
      <c r="K138" s="62"/>
      <c r="L138" s="62"/>
      <c r="M138" s="62"/>
    </row>
    <row r="139" spans="1:13" ht="12" customHeight="1">
      <c r="A139" s="61" t="s">
        <v>206</v>
      </c>
      <c r="B139" s="62"/>
      <c r="C139" s="62"/>
      <c r="D139" s="62"/>
      <c r="E139" s="62"/>
      <c r="F139" s="62"/>
      <c r="G139" s="62"/>
      <c r="H139" s="62"/>
      <c r="I139" s="62"/>
      <c r="J139" s="62"/>
      <c r="K139" s="62"/>
      <c r="L139" s="62"/>
      <c r="M139" s="62"/>
    </row>
    <row r="140" spans="1:13" ht="12" customHeight="1">
      <c r="A140" s="61" t="s">
        <v>207</v>
      </c>
      <c r="B140" s="62"/>
      <c r="C140" s="62"/>
      <c r="D140" s="62"/>
      <c r="E140" s="62"/>
      <c r="F140" s="62"/>
      <c r="G140" s="62"/>
      <c r="H140" s="62"/>
      <c r="I140" s="62"/>
      <c r="J140" s="62"/>
      <c r="K140" s="62"/>
      <c r="L140" s="62"/>
      <c r="M140" s="62"/>
    </row>
    <row r="141" spans="1:13" ht="12" customHeight="1">
      <c r="A141" s="61" t="s">
        <v>208</v>
      </c>
      <c r="B141" s="62"/>
      <c r="C141" s="62"/>
      <c r="D141" s="62"/>
      <c r="E141" s="62"/>
      <c r="F141" s="62"/>
      <c r="G141" s="62"/>
      <c r="H141" s="62"/>
      <c r="I141" s="62"/>
      <c r="J141" s="62"/>
      <c r="K141" s="62"/>
      <c r="L141" s="62"/>
      <c r="M141" s="62"/>
    </row>
    <row r="142" spans="1:13" ht="12" customHeight="1">
      <c r="A142" s="61" t="s">
        <v>214</v>
      </c>
      <c r="B142" s="62"/>
      <c r="C142" s="62"/>
      <c r="D142" s="62"/>
      <c r="E142" s="62"/>
      <c r="F142" s="62"/>
      <c r="G142" s="62"/>
      <c r="H142" s="62"/>
      <c r="I142" s="62"/>
      <c r="J142" s="62"/>
      <c r="K142" s="62"/>
      <c r="L142" s="62"/>
      <c r="M142" s="62"/>
    </row>
    <row r="143" spans="1:13" ht="12" customHeight="1">
      <c r="A143" s="61" t="s">
        <v>215</v>
      </c>
      <c r="B143" s="62"/>
      <c r="C143" s="62"/>
      <c r="D143" s="62"/>
      <c r="E143" s="62"/>
      <c r="F143" s="62"/>
      <c r="G143" s="62"/>
      <c r="H143" s="62"/>
      <c r="I143" s="62"/>
      <c r="J143" s="62"/>
      <c r="K143" s="62"/>
      <c r="L143" s="62"/>
      <c r="M143" s="62"/>
    </row>
    <row r="144" spans="1:13" ht="12" customHeight="1">
      <c r="A144" s="61" t="s">
        <v>216</v>
      </c>
      <c r="B144" s="62"/>
      <c r="C144" s="62"/>
      <c r="D144" s="62"/>
      <c r="E144" s="62"/>
      <c r="F144" s="62"/>
      <c r="G144" s="62"/>
      <c r="H144" s="62"/>
      <c r="I144" s="62"/>
      <c r="J144" s="62"/>
      <c r="K144" s="62"/>
      <c r="L144" s="62"/>
      <c r="M144" s="62"/>
    </row>
    <row r="145" spans="1:13" ht="12" customHeight="1">
      <c r="B145" s="84" t="str">
        <f>Table_4.0_Information!$A$14</f>
        <v>11 add state in table 0</v>
      </c>
      <c r="C145" s="84"/>
      <c r="D145" s="84"/>
      <c r="E145" s="84"/>
      <c r="F145" s="84"/>
      <c r="G145" s="84"/>
      <c r="H145" s="84"/>
      <c r="I145" s="84"/>
      <c r="J145" s="84"/>
      <c r="K145" s="84"/>
      <c r="L145" s="84"/>
      <c r="M145" s="84"/>
    </row>
    <row r="146" spans="1:13" ht="12" customHeight="1">
      <c r="A146" s="58" t="s">
        <v>199</v>
      </c>
      <c r="B146" s="59" t="s">
        <v>200</v>
      </c>
      <c r="C146" s="59" t="s">
        <v>201</v>
      </c>
      <c r="D146" s="60" t="s">
        <v>298</v>
      </c>
      <c r="E146" s="60" t="s">
        <v>299</v>
      </c>
      <c r="F146" s="59" t="s">
        <v>204</v>
      </c>
      <c r="G146" s="59" t="s">
        <v>205</v>
      </c>
      <c r="H146" s="59" t="s">
        <v>206</v>
      </c>
      <c r="I146" s="59" t="s">
        <v>207</v>
      </c>
      <c r="J146" s="59" t="s">
        <v>208</v>
      </c>
      <c r="K146" s="60" t="s">
        <v>300</v>
      </c>
      <c r="L146" s="60" t="s">
        <v>301</v>
      </c>
      <c r="M146" s="60" t="s">
        <v>302</v>
      </c>
    </row>
    <row r="147" spans="1:13" ht="12" customHeight="1">
      <c r="A147" s="61" t="s">
        <v>200</v>
      </c>
      <c r="B147" s="62"/>
      <c r="C147" s="62"/>
      <c r="D147" s="62"/>
      <c r="E147" s="62"/>
      <c r="F147" s="62"/>
      <c r="G147" s="62"/>
      <c r="H147" s="62"/>
      <c r="I147" s="62"/>
      <c r="J147" s="62"/>
      <c r="K147" s="62"/>
      <c r="L147" s="62"/>
      <c r="M147" s="62"/>
    </row>
    <row r="148" spans="1:13" ht="12" customHeight="1">
      <c r="A148" s="61" t="s">
        <v>201</v>
      </c>
      <c r="B148" s="62"/>
      <c r="C148" s="62"/>
      <c r="D148" s="62"/>
      <c r="E148" s="62"/>
      <c r="F148" s="62"/>
      <c r="G148" s="62"/>
      <c r="H148" s="62"/>
      <c r="I148" s="62"/>
      <c r="J148" s="62"/>
      <c r="K148" s="62"/>
      <c r="L148" s="62"/>
      <c r="M148" s="62"/>
    </row>
    <row r="149" spans="1:13" ht="12" customHeight="1">
      <c r="A149" s="63" t="s">
        <v>212</v>
      </c>
      <c r="B149" s="62"/>
      <c r="C149" s="62"/>
      <c r="D149" s="62"/>
      <c r="E149" s="62"/>
      <c r="F149" s="62"/>
      <c r="G149" s="62"/>
      <c r="H149" s="62"/>
      <c r="I149" s="62"/>
      <c r="J149" s="62"/>
      <c r="K149" s="62"/>
      <c r="L149" s="62"/>
      <c r="M149" s="62"/>
    </row>
    <row r="150" spans="1:13" ht="12" customHeight="1">
      <c r="A150" s="61" t="s">
        <v>213</v>
      </c>
      <c r="B150" s="62"/>
      <c r="C150" s="62"/>
      <c r="D150" s="62"/>
      <c r="E150" s="62"/>
      <c r="F150" s="62"/>
      <c r="G150" s="62"/>
      <c r="H150" s="62"/>
      <c r="I150" s="62"/>
      <c r="J150" s="62"/>
      <c r="K150" s="62"/>
      <c r="L150" s="62"/>
      <c r="M150" s="62"/>
    </row>
    <row r="151" spans="1:13" ht="12" customHeight="1">
      <c r="A151" s="61" t="s">
        <v>204</v>
      </c>
      <c r="B151" s="62"/>
      <c r="C151" s="62"/>
      <c r="D151" s="62"/>
      <c r="E151" s="62"/>
      <c r="F151" s="62"/>
      <c r="G151" s="62"/>
      <c r="H151" s="62"/>
      <c r="I151" s="62"/>
      <c r="J151" s="62"/>
      <c r="K151" s="62"/>
      <c r="L151" s="62"/>
      <c r="M151" s="62"/>
    </row>
    <row r="152" spans="1:13" ht="12" customHeight="1">
      <c r="A152" s="61" t="s">
        <v>205</v>
      </c>
      <c r="B152" s="62"/>
      <c r="C152" s="62"/>
      <c r="D152" s="62"/>
      <c r="E152" s="62"/>
      <c r="F152" s="62"/>
      <c r="G152" s="62"/>
      <c r="H152" s="62"/>
      <c r="I152" s="62"/>
      <c r="J152" s="62"/>
      <c r="K152" s="62"/>
      <c r="L152" s="62"/>
      <c r="M152" s="62"/>
    </row>
    <row r="153" spans="1:13" ht="12" customHeight="1">
      <c r="A153" s="61" t="s">
        <v>206</v>
      </c>
      <c r="B153" s="62"/>
      <c r="C153" s="62"/>
      <c r="D153" s="62"/>
      <c r="E153" s="62"/>
      <c r="F153" s="62"/>
      <c r="G153" s="62"/>
      <c r="H153" s="62"/>
      <c r="I153" s="62"/>
      <c r="J153" s="62"/>
      <c r="K153" s="62"/>
      <c r="L153" s="62"/>
      <c r="M153" s="62"/>
    </row>
    <row r="154" spans="1:13" ht="12" customHeight="1">
      <c r="A154" s="61" t="s">
        <v>207</v>
      </c>
      <c r="B154" s="62"/>
      <c r="C154" s="62"/>
      <c r="D154" s="62"/>
      <c r="E154" s="62"/>
      <c r="F154" s="62"/>
      <c r="G154" s="62"/>
      <c r="H154" s="62"/>
      <c r="I154" s="62"/>
      <c r="J154" s="62"/>
      <c r="K154" s="62"/>
      <c r="L154" s="62"/>
      <c r="M154" s="62"/>
    </row>
    <row r="155" spans="1:13" ht="12" customHeight="1">
      <c r="A155" s="61" t="s">
        <v>208</v>
      </c>
      <c r="B155" s="62"/>
      <c r="C155" s="62"/>
      <c r="D155" s="62"/>
      <c r="E155" s="62"/>
      <c r="F155" s="62"/>
      <c r="G155" s="62"/>
      <c r="H155" s="62"/>
      <c r="I155" s="62"/>
      <c r="J155" s="62"/>
      <c r="K155" s="62"/>
      <c r="L155" s="62"/>
      <c r="M155" s="62"/>
    </row>
    <row r="156" spans="1:13" ht="12" customHeight="1">
      <c r="A156" s="61" t="s">
        <v>214</v>
      </c>
      <c r="B156" s="62"/>
      <c r="C156" s="62"/>
      <c r="D156" s="62"/>
      <c r="E156" s="62"/>
      <c r="F156" s="62"/>
      <c r="G156" s="62"/>
      <c r="H156" s="62"/>
      <c r="I156" s="62"/>
      <c r="J156" s="62"/>
      <c r="K156" s="62"/>
      <c r="L156" s="62"/>
      <c r="M156" s="62"/>
    </row>
    <row r="157" spans="1:13" ht="12" customHeight="1">
      <c r="A157" s="61" t="s">
        <v>215</v>
      </c>
      <c r="B157" s="62"/>
      <c r="C157" s="62"/>
      <c r="D157" s="62"/>
      <c r="E157" s="62"/>
      <c r="F157" s="62"/>
      <c r="G157" s="62"/>
      <c r="H157" s="62"/>
      <c r="I157" s="62"/>
      <c r="J157" s="62"/>
      <c r="K157" s="62"/>
      <c r="L157" s="62"/>
      <c r="M157" s="62"/>
    </row>
    <row r="158" spans="1:13" ht="12" customHeight="1">
      <c r="A158" s="61" t="s">
        <v>216</v>
      </c>
      <c r="B158" s="62"/>
      <c r="C158" s="62"/>
      <c r="D158" s="62"/>
      <c r="E158" s="62"/>
      <c r="F158" s="62"/>
      <c r="G158" s="62"/>
      <c r="H158" s="62"/>
      <c r="I158" s="62"/>
      <c r="J158" s="62"/>
      <c r="K158" s="62"/>
      <c r="L158" s="62"/>
      <c r="M158" s="62"/>
    </row>
    <row r="159" spans="1:13" ht="12" customHeight="1">
      <c r="B159" s="84" t="str">
        <f>Table_4.0_Information!$A$15</f>
        <v>12 add state in table 0</v>
      </c>
      <c r="C159" s="84"/>
      <c r="D159" s="84"/>
      <c r="E159" s="84"/>
      <c r="F159" s="84"/>
      <c r="G159" s="84"/>
      <c r="H159" s="84"/>
      <c r="I159" s="84"/>
      <c r="J159" s="84"/>
      <c r="K159" s="84"/>
      <c r="L159" s="84"/>
      <c r="M159" s="84"/>
    </row>
    <row r="160" spans="1:13" ht="12" customHeight="1">
      <c r="A160" s="58" t="s">
        <v>199</v>
      </c>
      <c r="B160" s="59" t="s">
        <v>200</v>
      </c>
      <c r="C160" s="59" t="s">
        <v>201</v>
      </c>
      <c r="D160" s="60" t="s">
        <v>298</v>
      </c>
      <c r="E160" s="60" t="s">
        <v>299</v>
      </c>
      <c r="F160" s="59" t="s">
        <v>204</v>
      </c>
      <c r="G160" s="59" t="s">
        <v>205</v>
      </c>
      <c r="H160" s="59" t="s">
        <v>206</v>
      </c>
      <c r="I160" s="59" t="s">
        <v>207</v>
      </c>
      <c r="J160" s="59" t="s">
        <v>208</v>
      </c>
      <c r="K160" s="60" t="s">
        <v>300</v>
      </c>
      <c r="L160" s="60" t="s">
        <v>301</v>
      </c>
      <c r="M160" s="60" t="s">
        <v>302</v>
      </c>
    </row>
    <row r="161" spans="1:13" ht="12" customHeight="1">
      <c r="A161" s="61" t="s">
        <v>200</v>
      </c>
      <c r="B161" s="62"/>
      <c r="C161" s="62"/>
      <c r="D161" s="62"/>
      <c r="E161" s="62"/>
      <c r="F161" s="62"/>
      <c r="G161" s="62"/>
      <c r="H161" s="62"/>
      <c r="I161" s="62"/>
      <c r="J161" s="62"/>
      <c r="K161" s="62"/>
      <c r="L161" s="62"/>
      <c r="M161" s="62"/>
    </row>
    <row r="162" spans="1:13" ht="12" customHeight="1">
      <c r="A162" s="61" t="s">
        <v>201</v>
      </c>
      <c r="B162" s="62"/>
      <c r="C162" s="62"/>
      <c r="D162" s="62"/>
      <c r="E162" s="62"/>
      <c r="F162" s="62"/>
      <c r="G162" s="62"/>
      <c r="H162" s="62"/>
      <c r="I162" s="62"/>
      <c r="J162" s="62"/>
      <c r="K162" s="62"/>
      <c r="L162" s="62"/>
      <c r="M162" s="62"/>
    </row>
    <row r="163" spans="1:13" ht="12" customHeight="1">
      <c r="A163" s="63" t="s">
        <v>212</v>
      </c>
      <c r="B163" s="62"/>
      <c r="C163" s="62"/>
      <c r="D163" s="62"/>
      <c r="E163" s="62"/>
      <c r="F163" s="62"/>
      <c r="G163" s="62"/>
      <c r="H163" s="62"/>
      <c r="I163" s="62"/>
      <c r="J163" s="62"/>
      <c r="K163" s="62"/>
      <c r="L163" s="62"/>
      <c r="M163" s="62"/>
    </row>
    <row r="164" spans="1:13" ht="12" customHeight="1">
      <c r="A164" s="61" t="s">
        <v>213</v>
      </c>
      <c r="B164" s="62"/>
      <c r="C164" s="62"/>
      <c r="D164" s="62"/>
      <c r="E164" s="62"/>
      <c r="F164" s="62"/>
      <c r="G164" s="62"/>
      <c r="H164" s="62"/>
      <c r="I164" s="62"/>
      <c r="J164" s="62"/>
      <c r="K164" s="62"/>
      <c r="L164" s="62"/>
      <c r="M164" s="62"/>
    </row>
    <row r="165" spans="1:13" ht="12" customHeight="1">
      <c r="A165" s="61" t="s">
        <v>204</v>
      </c>
      <c r="B165" s="62"/>
      <c r="C165" s="62"/>
      <c r="D165" s="62"/>
      <c r="E165" s="62"/>
      <c r="F165" s="62"/>
      <c r="G165" s="62"/>
      <c r="H165" s="62"/>
      <c r="I165" s="62"/>
      <c r="J165" s="62"/>
      <c r="K165" s="62"/>
      <c r="L165" s="62"/>
      <c r="M165" s="62"/>
    </row>
    <row r="166" spans="1:13" ht="12" customHeight="1">
      <c r="A166" s="61" t="s">
        <v>205</v>
      </c>
      <c r="B166" s="62"/>
      <c r="C166" s="62"/>
      <c r="D166" s="62"/>
      <c r="E166" s="62"/>
      <c r="F166" s="62"/>
      <c r="G166" s="62"/>
      <c r="H166" s="62"/>
      <c r="I166" s="62"/>
      <c r="J166" s="62"/>
      <c r="K166" s="62"/>
      <c r="L166" s="62"/>
      <c r="M166" s="62"/>
    </row>
    <row r="167" spans="1:13" ht="12" customHeight="1">
      <c r="A167" s="61" t="s">
        <v>206</v>
      </c>
      <c r="B167" s="62"/>
      <c r="C167" s="62"/>
      <c r="D167" s="62"/>
      <c r="E167" s="62"/>
      <c r="F167" s="62"/>
      <c r="G167" s="62"/>
      <c r="H167" s="62"/>
      <c r="I167" s="62"/>
      <c r="J167" s="62"/>
      <c r="K167" s="62"/>
      <c r="L167" s="62"/>
      <c r="M167" s="62"/>
    </row>
    <row r="168" spans="1:13" ht="12" customHeight="1">
      <c r="A168" s="61" t="s">
        <v>207</v>
      </c>
      <c r="B168" s="62"/>
      <c r="C168" s="62"/>
      <c r="D168" s="62"/>
      <c r="E168" s="62"/>
      <c r="F168" s="62"/>
      <c r="G168" s="62"/>
      <c r="H168" s="62"/>
      <c r="I168" s="62"/>
      <c r="J168" s="62"/>
      <c r="K168" s="62"/>
      <c r="L168" s="62"/>
      <c r="M168" s="62"/>
    </row>
    <row r="169" spans="1:13" ht="12" customHeight="1">
      <c r="A169" s="61" t="s">
        <v>208</v>
      </c>
      <c r="B169" s="62"/>
      <c r="C169" s="62"/>
      <c r="D169" s="62"/>
      <c r="E169" s="62"/>
      <c r="F169" s="62"/>
      <c r="G169" s="62"/>
      <c r="H169" s="62"/>
      <c r="I169" s="62"/>
      <c r="J169" s="62"/>
      <c r="K169" s="62"/>
      <c r="L169" s="62"/>
      <c r="M169" s="62"/>
    </row>
    <row r="170" spans="1:13" ht="12" customHeight="1">
      <c r="A170" s="61" t="s">
        <v>214</v>
      </c>
      <c r="B170" s="62"/>
      <c r="C170" s="62"/>
      <c r="D170" s="62"/>
      <c r="E170" s="62"/>
      <c r="F170" s="62"/>
      <c r="G170" s="62"/>
      <c r="H170" s="62"/>
      <c r="I170" s="62"/>
      <c r="J170" s="62"/>
      <c r="K170" s="62"/>
      <c r="L170" s="62"/>
      <c r="M170" s="62"/>
    </row>
    <row r="171" spans="1:13" ht="12" customHeight="1">
      <c r="A171" s="61" t="s">
        <v>215</v>
      </c>
      <c r="B171" s="62"/>
      <c r="C171" s="62"/>
      <c r="D171" s="62"/>
      <c r="E171" s="62"/>
      <c r="F171" s="62"/>
      <c r="G171" s="62"/>
      <c r="H171" s="62"/>
      <c r="I171" s="62"/>
      <c r="J171" s="62"/>
      <c r="K171" s="62"/>
      <c r="L171" s="62"/>
      <c r="M171" s="62"/>
    </row>
    <row r="172" spans="1:13" ht="12" customHeight="1">
      <c r="A172" s="61" t="s">
        <v>216</v>
      </c>
      <c r="B172" s="62"/>
      <c r="C172" s="62"/>
      <c r="D172" s="62"/>
      <c r="E172" s="62"/>
      <c r="F172" s="62"/>
      <c r="G172" s="62"/>
      <c r="H172" s="62"/>
      <c r="I172" s="62"/>
      <c r="J172" s="62"/>
      <c r="K172" s="62"/>
      <c r="L172" s="62"/>
      <c r="M172" s="62"/>
    </row>
  </sheetData>
  <mergeCells count="3">
    <mergeCell ref="P2:AB2"/>
    <mergeCell ref="P17:AB17"/>
    <mergeCell ref="P32:AB32"/>
  </mergeCells>
  <conditionalFormatting sqref="R4:AB4 Q15:AA15 Q14:Z14 AB14 Q13:Y13 AA13:AB13 Q12:X12 Z12:AB12 Q11:W11 Y11:AB11 Q10:V10 X10:AB10 Q9:U9 W9:AB9 Q8:T8 V8:AB8 Q7:S7 U7:AB7 Q6:R6 T6:AB6 Q5 S5:AB5">
    <cfRule type="colorScale" priority="8">
      <colorScale>
        <cfvo type="min"/>
        <cfvo type="max"/>
        <color rgb="FFFCFCFF"/>
        <color rgb="FFF8696B"/>
      </colorScale>
    </cfRule>
  </conditionalFormatting>
  <conditionalFormatting sqref="Q5:Q15 R6:R15 S7:S15 T8:T15 U9:U15 V10:V15 W11:W15 X12:X15 Y13:Y15 Z14:Z15 AA15">
    <cfRule type="colorScale" priority="7">
      <colorScale>
        <cfvo type="min"/>
        <cfvo type="max"/>
        <color rgb="FFFCFCFF"/>
        <color rgb="FFF8696B"/>
      </colorScale>
    </cfRule>
  </conditionalFormatting>
  <conditionalFormatting sqref="R19:AB19 R30:AA30 R29:Z29 AB29 R28:Y28 AA28:AB28 R27:X27 Z27:AB27 R26:W26 Y26:AB26 R25:V25 X25:AB25 R24:U24 W24:AB24 R23:T23 V23:AB23 R22:S22 U22:AB22 R21 T21:AB21 S20:AB20">
    <cfRule type="colorScale" priority="6">
      <colorScale>
        <cfvo type="min"/>
        <cfvo type="max"/>
        <color rgb="FFFCFCFF"/>
        <color rgb="FFF8696B"/>
      </colorScale>
    </cfRule>
  </conditionalFormatting>
  <conditionalFormatting sqref="R19:AB19 Q30:AA30 Q29:Z29 AB29 Q28:Y28 AA28:AB28 Q27:X27 Z27:AB27 Q26:W26 Y26:AB26 Q25:V25 X25:AB25 Q24:U24 W24:AB24 Q23:T23 V23:AB23 Q22:S22 U22:AB22 Q21:R21 T21:AB21 Q20 S20:AB20">
    <cfRule type="colorScale" priority="4">
      <colorScale>
        <cfvo type="min"/>
        <cfvo type="max"/>
        <color rgb="FFFCFCFF"/>
        <color rgb="FFF8696B"/>
      </colorScale>
    </cfRule>
  </conditionalFormatting>
  <conditionalFormatting sqref="R34:AB34 R45:AA45 R44:Z44 AB44 R43:Y43 AA43:AB43 R42:X42 Z42:AB42 R41:W41 Y41:AB41 R40:V40 X40:AB40 R39:U39 W39:AB39 R38:T38 V38:AB38 R37:S37 U37:AB37 R36 T36:AB36 S35:AB35">
    <cfRule type="colorScale" priority="3">
      <colorScale>
        <cfvo type="min"/>
        <cfvo type="max"/>
        <color rgb="FFFCFCFF"/>
        <color rgb="FFF8696B"/>
      </colorScale>
    </cfRule>
  </conditionalFormatting>
  <conditionalFormatting sqref="R34:AB34 R45:AA45 R44:Z44 AB44 R43:Y43 AA43:AB43 R42:X42 Z42:AB42 R41:W41 Y41:AB41 R40:V40 X40:AB40 R39:U39 W39:AB39 R38:T38 V38:AB38 R37:S37 U37:AB37 R36 T36:AB36 S35:AB35">
    <cfRule type="colorScale" priority="2">
      <colorScale>
        <cfvo type="min"/>
        <cfvo type="max"/>
        <color rgb="FFFCFCFF"/>
        <color rgb="FFF8696B"/>
      </colorScale>
    </cfRule>
  </conditionalFormatting>
  <conditionalFormatting sqref="R34:AB34 Q45:AA45 Q44:Z44 AB44 Q43:Y43 AA43:AB43 Q42:X42 Z42:AB42 Q41:W41 Y41:AB41 Q40:V40 X40:AB40 Q39:U39 W39:AB39 Q38:T38 V38:AB38 Q37:S37 U37:AB37 Q36:R36 T36:AB36 Q35 S35:AB35">
    <cfRule type="colorScale" priority="1">
      <colorScale>
        <cfvo type="min"/>
        <cfvo type="max"/>
        <color rgb="FFFCFCFF"/>
        <color rgb="FFF8696B"/>
      </colorScale>
    </cfRule>
  </conditionalFormatting>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5E80-8EB6-45F2-9BE0-9D009B7EE0C7}">
  <dimension ref="A1:AB172"/>
  <sheetViews>
    <sheetView topLeftCell="P33" zoomScaleNormal="70" workbookViewId="0">
      <selection activeCell="D9" sqref="D9"/>
    </sheetView>
  </sheetViews>
  <sheetFormatPr baseColWidth="10" defaultColWidth="10.6640625" defaultRowHeight="12" customHeight="1"/>
  <cols>
    <col min="1" max="1" width="47" style="105" hidden="1" customWidth="1"/>
    <col min="2" max="2" width="13.5" style="105" hidden="1" customWidth="1"/>
    <col min="3" max="3" width="12.5" style="105" hidden="1" customWidth="1"/>
    <col min="4" max="4" width="20" style="105" hidden="1" customWidth="1"/>
    <col min="5" max="5" width="15" style="105" hidden="1" customWidth="1"/>
    <col min="6" max="6" width="21" style="105" hidden="1" customWidth="1"/>
    <col min="7" max="7" width="25" style="105" hidden="1" customWidth="1"/>
    <col min="8" max="8" width="31" style="105" hidden="1" customWidth="1"/>
    <col min="9" max="9" width="9" style="105" hidden="1" customWidth="1"/>
    <col min="10" max="10" width="20" style="105" hidden="1" customWidth="1"/>
    <col min="11" max="11" width="10.33203125" style="105" hidden="1" customWidth="1"/>
    <col min="12" max="12" width="21" style="105" hidden="1" customWidth="1"/>
    <col min="13" max="13" width="22.6640625" style="105" hidden="1" customWidth="1"/>
    <col min="14" max="14" width="10.6640625" style="105" hidden="1" customWidth="1"/>
    <col min="15" max="15" width="5.33203125" style="105" hidden="1" customWidth="1"/>
    <col min="16" max="16" width="37.1640625" style="105" customWidth="1"/>
    <col min="17" max="17" width="15.1640625" style="105" customWidth="1"/>
    <col min="18" max="18" width="13.6640625" style="105" customWidth="1"/>
    <col min="19" max="19" width="16.6640625" style="105" customWidth="1"/>
    <col min="20" max="20" width="17.6640625" style="105" customWidth="1"/>
    <col min="21" max="21" width="22.1640625" style="105" customWidth="1"/>
    <col min="22" max="22" width="19.1640625" style="105" customWidth="1"/>
    <col min="23" max="23" width="19.33203125" style="105" customWidth="1"/>
    <col min="24" max="24" width="15.1640625" style="105" customWidth="1"/>
    <col min="25" max="25" width="21.6640625" style="105" customWidth="1"/>
    <col min="26" max="26" width="15.6640625" style="105" customWidth="1"/>
    <col min="27" max="27" width="21.5" style="105" customWidth="1"/>
    <col min="28" max="28" width="18" style="105" customWidth="1"/>
    <col min="29" max="16384" width="10.6640625" style="105"/>
  </cols>
  <sheetData>
    <row r="1" spans="1:28" ht="16">
      <c r="A1" s="85" t="s">
        <v>226</v>
      </c>
      <c r="B1" s="86"/>
      <c r="C1" s="86"/>
      <c r="D1" s="86"/>
      <c r="E1" s="86"/>
      <c r="F1" s="86"/>
      <c r="G1" s="86"/>
      <c r="H1" s="86"/>
      <c r="I1" s="86"/>
      <c r="J1" s="86"/>
      <c r="K1" s="86"/>
      <c r="L1" s="86"/>
      <c r="M1" s="86"/>
      <c r="P1" s="108" t="s">
        <v>309</v>
      </c>
    </row>
    <row r="2" spans="1:28" ht="26">
      <c r="B2" s="84" t="str">
        <f>Table_4.0_Information!$A$4</f>
        <v>Colorado</v>
      </c>
      <c r="C2" s="84"/>
      <c r="D2" s="84"/>
      <c r="E2" s="84"/>
      <c r="F2" s="84"/>
      <c r="G2" s="84"/>
      <c r="H2" s="84"/>
      <c r="I2" s="84"/>
      <c r="J2" s="84"/>
      <c r="K2" s="84"/>
      <c r="L2" s="84"/>
      <c r="M2" s="84"/>
      <c r="P2" s="296" t="str">
        <f>Table_4.0_Information!$A$4</f>
        <v>Colorado</v>
      </c>
      <c r="Q2" s="296"/>
      <c r="R2" s="296"/>
      <c r="S2" s="296"/>
      <c r="T2" s="296"/>
      <c r="U2" s="296"/>
      <c r="V2" s="296"/>
      <c r="W2" s="296"/>
      <c r="X2" s="296"/>
      <c r="Y2" s="296"/>
      <c r="Z2" s="296"/>
      <c r="AA2" s="296"/>
      <c r="AB2" s="296"/>
    </row>
    <row r="3" spans="1:28" ht="48">
      <c r="A3" s="58" t="s">
        <v>199</v>
      </c>
      <c r="B3" s="93" t="s">
        <v>200</v>
      </c>
      <c r="C3" s="93" t="s">
        <v>201</v>
      </c>
      <c r="D3" s="92" t="s">
        <v>212</v>
      </c>
      <c r="E3" s="93" t="s">
        <v>213</v>
      </c>
      <c r="F3" s="93" t="s">
        <v>204</v>
      </c>
      <c r="G3" s="93" t="s">
        <v>205</v>
      </c>
      <c r="H3" s="93" t="s">
        <v>206</v>
      </c>
      <c r="I3" s="93" t="s">
        <v>207</v>
      </c>
      <c r="J3" s="93" t="s">
        <v>208</v>
      </c>
      <c r="K3" s="93" t="s">
        <v>214</v>
      </c>
      <c r="L3" s="93" t="s">
        <v>215</v>
      </c>
      <c r="M3" s="93" t="s">
        <v>216</v>
      </c>
      <c r="P3" s="58"/>
      <c r="Q3" s="93" t="s">
        <v>200</v>
      </c>
      <c r="R3" s="93" t="s">
        <v>201</v>
      </c>
      <c r="S3" s="92" t="s">
        <v>304</v>
      </c>
      <c r="T3" s="93" t="s">
        <v>305</v>
      </c>
      <c r="U3" s="93" t="s">
        <v>204</v>
      </c>
      <c r="V3" s="93" t="s">
        <v>306</v>
      </c>
      <c r="W3" s="93" t="s">
        <v>307</v>
      </c>
      <c r="X3" s="93" t="s">
        <v>207</v>
      </c>
      <c r="Y3" s="93" t="s">
        <v>208</v>
      </c>
      <c r="Z3" s="93" t="s">
        <v>214</v>
      </c>
      <c r="AA3" s="93" t="s">
        <v>215</v>
      </c>
      <c r="AB3" s="93" t="s">
        <v>308</v>
      </c>
    </row>
    <row r="4" spans="1:28" ht="16">
      <c r="A4" s="61" t="s">
        <v>200</v>
      </c>
      <c r="B4" s="91">
        <v>275</v>
      </c>
      <c r="C4" s="87">
        <v>7</v>
      </c>
      <c r="D4" s="87">
        <v>5</v>
      </c>
      <c r="E4" s="87">
        <v>2</v>
      </c>
      <c r="F4" s="87">
        <v>5</v>
      </c>
      <c r="G4" s="87">
        <v>5</v>
      </c>
      <c r="H4" s="87"/>
      <c r="I4" s="87">
        <v>4</v>
      </c>
      <c r="J4" s="87">
        <v>6</v>
      </c>
      <c r="K4" s="87">
        <v>4</v>
      </c>
      <c r="L4" s="87">
        <v>1</v>
      </c>
      <c r="M4" s="87"/>
      <c r="N4" s="105">
        <f t="shared" ref="N4:N15" si="0">SUM(B4:M4)</f>
        <v>314</v>
      </c>
      <c r="P4" s="104" t="s">
        <v>200</v>
      </c>
      <c r="Q4" s="97">
        <f>B4/275</f>
        <v>1</v>
      </c>
      <c r="R4" s="98">
        <f>C4/1768</f>
        <v>3.9592760180995473E-3</v>
      </c>
      <c r="S4" s="98">
        <f>D4/1016</f>
        <v>4.921259842519685E-3</v>
      </c>
      <c r="T4" s="96">
        <f>E4/756</f>
        <v>2.6455026455026454E-3</v>
      </c>
      <c r="U4" s="98">
        <f>F4/306</f>
        <v>1.6339869281045753E-2</v>
      </c>
      <c r="V4" s="98">
        <f>G4/218</f>
        <v>2.2935779816513763E-2</v>
      </c>
      <c r="W4" s="98">
        <f>H4/90</f>
        <v>0</v>
      </c>
      <c r="X4" s="98">
        <f>I4/75</f>
        <v>5.3333333333333337E-2</v>
      </c>
      <c r="Y4" s="98">
        <f>J4/889</f>
        <v>6.7491563554555678E-3</v>
      </c>
      <c r="Z4" s="98">
        <f>K4/319</f>
        <v>1.2539184952978056E-2</v>
      </c>
      <c r="AA4" s="98">
        <f>L4/15</f>
        <v>6.6666666666666666E-2</v>
      </c>
      <c r="AB4" s="98">
        <f>M4/8</f>
        <v>0</v>
      </c>
    </row>
    <row r="5" spans="1:28" ht="16">
      <c r="A5" s="61" t="s">
        <v>201</v>
      </c>
      <c r="B5" s="87">
        <v>7</v>
      </c>
      <c r="C5" s="91">
        <v>1768</v>
      </c>
      <c r="D5" s="87">
        <v>1016</v>
      </c>
      <c r="E5" s="87">
        <v>756</v>
      </c>
      <c r="F5" s="87">
        <v>25</v>
      </c>
      <c r="G5" s="87">
        <v>24</v>
      </c>
      <c r="H5" s="87">
        <v>1</v>
      </c>
      <c r="I5" s="87">
        <v>6</v>
      </c>
      <c r="J5" s="87">
        <v>105</v>
      </c>
      <c r="K5" s="87">
        <v>10</v>
      </c>
      <c r="L5" s="87"/>
      <c r="M5" s="87"/>
      <c r="N5" s="105">
        <f t="shared" si="0"/>
        <v>3718</v>
      </c>
      <c r="P5" s="104" t="s">
        <v>201</v>
      </c>
      <c r="Q5" s="99">
        <f t="shared" ref="Q5:Q15" si="1">B5/275</f>
        <v>2.5454545454545455E-2</v>
      </c>
      <c r="R5" s="97">
        <f t="shared" ref="R5:R15" si="2">C5/1768</f>
        <v>1</v>
      </c>
      <c r="S5" s="106">
        <f t="shared" ref="S5:S15" si="3">D5/1016</f>
        <v>1</v>
      </c>
      <c r="T5" s="107">
        <f t="shared" ref="T5:T15" si="4">E5/756</f>
        <v>1</v>
      </c>
      <c r="U5" s="98">
        <f t="shared" ref="U5:U15" si="5">F5/306</f>
        <v>8.1699346405228759E-2</v>
      </c>
      <c r="V5" s="98">
        <f t="shared" ref="V5:V15" si="6">G5/218</f>
        <v>0.11009174311926606</v>
      </c>
      <c r="W5" s="98">
        <f t="shared" ref="W5:W15" si="7">H5/90</f>
        <v>1.1111111111111112E-2</v>
      </c>
      <c r="X5" s="98">
        <f t="shared" ref="X5:X15" si="8">I5/75</f>
        <v>0.08</v>
      </c>
      <c r="Y5" s="98">
        <f t="shared" ref="Y5:Y15" si="9">J5/889</f>
        <v>0.11811023622047244</v>
      </c>
      <c r="Z5" s="98">
        <f t="shared" ref="Z5:Z15" si="10">K5/319</f>
        <v>3.1347962382445138E-2</v>
      </c>
      <c r="AA5" s="98">
        <f t="shared" ref="AA5:AA15" si="11">L5/15</f>
        <v>0</v>
      </c>
      <c r="AB5" s="98">
        <f t="shared" ref="AB5:AB15" si="12">M5/8</f>
        <v>0</v>
      </c>
    </row>
    <row r="6" spans="1:28" ht="33.75" customHeight="1">
      <c r="A6" s="63" t="s">
        <v>212</v>
      </c>
      <c r="B6" s="87">
        <v>5</v>
      </c>
      <c r="C6" s="87">
        <v>1016</v>
      </c>
      <c r="D6" s="91">
        <v>1016</v>
      </c>
      <c r="E6" s="87">
        <v>4</v>
      </c>
      <c r="F6" s="87">
        <v>9</v>
      </c>
      <c r="G6" s="87">
        <v>8</v>
      </c>
      <c r="H6" s="87">
        <v>1</v>
      </c>
      <c r="I6" s="87">
        <v>2</v>
      </c>
      <c r="J6" s="87">
        <v>100</v>
      </c>
      <c r="K6" s="87">
        <v>10</v>
      </c>
      <c r="L6" s="87"/>
      <c r="M6" s="87"/>
      <c r="N6" s="105">
        <f t="shared" si="0"/>
        <v>2171</v>
      </c>
      <c r="P6" s="63" t="s">
        <v>304</v>
      </c>
      <c r="Q6" s="99">
        <f t="shared" si="1"/>
        <v>1.8181818181818181E-2</v>
      </c>
      <c r="R6" s="98">
        <f t="shared" si="2"/>
        <v>0.57466063348416285</v>
      </c>
      <c r="S6" s="97">
        <f t="shared" si="3"/>
        <v>1</v>
      </c>
      <c r="T6" s="96">
        <f t="shared" si="4"/>
        <v>5.2910052910052907E-3</v>
      </c>
      <c r="U6" s="98">
        <f t="shared" si="5"/>
        <v>2.9411764705882353E-2</v>
      </c>
      <c r="V6" s="98">
        <f t="shared" si="6"/>
        <v>3.669724770642202E-2</v>
      </c>
      <c r="W6" s="98">
        <f t="shared" si="7"/>
        <v>1.1111111111111112E-2</v>
      </c>
      <c r="X6" s="98">
        <f t="shared" si="8"/>
        <v>2.6666666666666668E-2</v>
      </c>
      <c r="Y6" s="98">
        <f t="shared" si="9"/>
        <v>0.1124859392575928</v>
      </c>
      <c r="Z6" s="98">
        <f t="shared" si="10"/>
        <v>3.1347962382445138E-2</v>
      </c>
      <c r="AA6" s="98">
        <f t="shared" si="11"/>
        <v>0</v>
      </c>
      <c r="AB6" s="98">
        <f t="shared" si="12"/>
        <v>0</v>
      </c>
    </row>
    <row r="7" spans="1:28" ht="16">
      <c r="A7" s="61" t="s">
        <v>213</v>
      </c>
      <c r="B7" s="87">
        <v>2</v>
      </c>
      <c r="C7" s="87">
        <v>756</v>
      </c>
      <c r="D7" s="87">
        <v>4</v>
      </c>
      <c r="E7" s="91">
        <v>756</v>
      </c>
      <c r="F7" s="87">
        <v>16</v>
      </c>
      <c r="G7" s="87">
        <v>16</v>
      </c>
      <c r="H7" s="87"/>
      <c r="I7" s="87">
        <v>4</v>
      </c>
      <c r="J7" s="87">
        <v>5</v>
      </c>
      <c r="K7" s="87"/>
      <c r="L7" s="87"/>
      <c r="M7" s="87"/>
      <c r="N7" s="105">
        <f t="shared" si="0"/>
        <v>1559</v>
      </c>
      <c r="P7" s="104" t="s">
        <v>305</v>
      </c>
      <c r="Q7" s="99">
        <f t="shared" si="1"/>
        <v>7.2727272727272727E-3</v>
      </c>
      <c r="R7" s="98">
        <f t="shared" si="2"/>
        <v>0.42760180995475111</v>
      </c>
      <c r="S7" s="98">
        <f t="shared" si="3"/>
        <v>3.937007874015748E-3</v>
      </c>
      <c r="T7" s="95">
        <f t="shared" si="4"/>
        <v>1</v>
      </c>
      <c r="U7" s="98">
        <f t="shared" si="5"/>
        <v>5.2287581699346407E-2</v>
      </c>
      <c r="V7" s="98">
        <f t="shared" si="6"/>
        <v>7.3394495412844041E-2</v>
      </c>
      <c r="W7" s="98">
        <f t="shared" si="7"/>
        <v>0</v>
      </c>
      <c r="X7" s="98">
        <f t="shared" si="8"/>
        <v>5.3333333333333337E-2</v>
      </c>
      <c r="Y7" s="98">
        <f t="shared" si="9"/>
        <v>5.6242969628796397E-3</v>
      </c>
      <c r="Z7" s="98">
        <f t="shared" si="10"/>
        <v>0</v>
      </c>
      <c r="AA7" s="98">
        <f t="shared" si="11"/>
        <v>0</v>
      </c>
      <c r="AB7" s="98">
        <f t="shared" si="12"/>
        <v>0</v>
      </c>
    </row>
    <row r="8" spans="1:28" ht="16">
      <c r="A8" s="61" t="s">
        <v>204</v>
      </c>
      <c r="B8" s="87">
        <v>5</v>
      </c>
      <c r="C8" s="87">
        <v>25</v>
      </c>
      <c r="D8" s="87">
        <v>9</v>
      </c>
      <c r="E8" s="87">
        <v>16</v>
      </c>
      <c r="F8" s="91">
        <v>306</v>
      </c>
      <c r="G8" s="87">
        <v>218</v>
      </c>
      <c r="H8" s="87">
        <v>90</v>
      </c>
      <c r="I8" s="87">
        <v>3</v>
      </c>
      <c r="J8" s="87">
        <v>5</v>
      </c>
      <c r="K8" s="87">
        <v>1</v>
      </c>
      <c r="L8" s="87">
        <v>1</v>
      </c>
      <c r="M8" s="87"/>
      <c r="N8" s="105">
        <f t="shared" si="0"/>
        <v>679</v>
      </c>
      <c r="P8" s="104" t="s">
        <v>204</v>
      </c>
      <c r="Q8" s="99">
        <f t="shared" si="1"/>
        <v>1.8181818181818181E-2</v>
      </c>
      <c r="R8" s="98">
        <f t="shared" si="2"/>
        <v>1.414027149321267E-2</v>
      </c>
      <c r="S8" s="98">
        <f t="shared" si="3"/>
        <v>8.8582677165354329E-3</v>
      </c>
      <c r="T8" s="96">
        <f t="shared" si="4"/>
        <v>2.1164021164021163E-2</v>
      </c>
      <c r="U8" s="97">
        <f t="shared" si="5"/>
        <v>1</v>
      </c>
      <c r="V8" s="106">
        <f t="shared" si="6"/>
        <v>1</v>
      </c>
      <c r="W8" s="106">
        <f t="shared" si="7"/>
        <v>1</v>
      </c>
      <c r="X8" s="98">
        <f t="shared" si="8"/>
        <v>0.04</v>
      </c>
      <c r="Y8" s="98">
        <f t="shared" si="9"/>
        <v>5.6242969628796397E-3</v>
      </c>
      <c r="Z8" s="98">
        <f t="shared" si="10"/>
        <v>3.134796238244514E-3</v>
      </c>
      <c r="AA8" s="98">
        <f t="shared" si="11"/>
        <v>6.6666666666666666E-2</v>
      </c>
      <c r="AB8" s="98">
        <f t="shared" si="12"/>
        <v>0</v>
      </c>
    </row>
    <row r="9" spans="1:28" ht="16">
      <c r="A9" s="61" t="s">
        <v>205</v>
      </c>
      <c r="B9" s="87">
        <v>5</v>
      </c>
      <c r="C9" s="87">
        <v>24</v>
      </c>
      <c r="D9" s="87">
        <v>8</v>
      </c>
      <c r="E9" s="87">
        <v>16</v>
      </c>
      <c r="F9" s="87">
        <v>218</v>
      </c>
      <c r="G9" s="91">
        <v>218</v>
      </c>
      <c r="H9" s="87">
        <v>2</v>
      </c>
      <c r="I9" s="87">
        <v>3</v>
      </c>
      <c r="J9" s="87">
        <v>4</v>
      </c>
      <c r="K9" s="87">
        <v>1</v>
      </c>
      <c r="L9" s="87"/>
      <c r="M9" s="87"/>
      <c r="N9" s="105">
        <f t="shared" si="0"/>
        <v>499</v>
      </c>
      <c r="P9" s="104" t="s">
        <v>306</v>
      </c>
      <c r="Q9" s="99">
        <f t="shared" si="1"/>
        <v>1.8181818181818181E-2</v>
      </c>
      <c r="R9" s="98">
        <f t="shared" si="2"/>
        <v>1.3574660633484163E-2</v>
      </c>
      <c r="S9" s="98">
        <f t="shared" si="3"/>
        <v>7.874015748031496E-3</v>
      </c>
      <c r="T9" s="96">
        <f t="shared" si="4"/>
        <v>2.1164021164021163E-2</v>
      </c>
      <c r="U9" s="98">
        <f t="shared" si="5"/>
        <v>0.71241830065359479</v>
      </c>
      <c r="V9" s="97">
        <f t="shared" si="6"/>
        <v>1</v>
      </c>
      <c r="W9" s="98">
        <f t="shared" si="7"/>
        <v>2.2222222222222223E-2</v>
      </c>
      <c r="X9" s="98">
        <f t="shared" si="8"/>
        <v>0.04</v>
      </c>
      <c r="Y9" s="98">
        <f t="shared" si="9"/>
        <v>4.4994375703037125E-3</v>
      </c>
      <c r="Z9" s="98">
        <f t="shared" si="10"/>
        <v>3.134796238244514E-3</v>
      </c>
      <c r="AA9" s="98">
        <f t="shared" si="11"/>
        <v>0</v>
      </c>
      <c r="AB9" s="98">
        <f t="shared" si="12"/>
        <v>0</v>
      </c>
    </row>
    <row r="10" spans="1:28" ht="16">
      <c r="A10" s="61" t="s">
        <v>206</v>
      </c>
      <c r="B10" s="87"/>
      <c r="C10" s="87">
        <v>1</v>
      </c>
      <c r="D10" s="87">
        <v>1</v>
      </c>
      <c r="E10" s="87"/>
      <c r="F10" s="87">
        <v>90</v>
      </c>
      <c r="G10" s="87">
        <v>2</v>
      </c>
      <c r="H10" s="91">
        <v>90</v>
      </c>
      <c r="I10" s="87"/>
      <c r="J10" s="87">
        <v>1</v>
      </c>
      <c r="K10" s="87"/>
      <c r="L10" s="87">
        <v>1</v>
      </c>
      <c r="M10" s="87"/>
      <c r="N10" s="105">
        <f t="shared" si="0"/>
        <v>186</v>
      </c>
      <c r="P10" s="104" t="s">
        <v>307</v>
      </c>
      <c r="Q10" s="99">
        <f t="shared" si="1"/>
        <v>0</v>
      </c>
      <c r="R10" s="98">
        <f t="shared" si="2"/>
        <v>5.6561085972850684E-4</v>
      </c>
      <c r="S10" s="98">
        <f t="shared" si="3"/>
        <v>9.8425196850393699E-4</v>
      </c>
      <c r="T10" s="96">
        <f t="shared" si="4"/>
        <v>0</v>
      </c>
      <c r="U10" s="98">
        <f t="shared" si="5"/>
        <v>0.29411764705882354</v>
      </c>
      <c r="V10" s="98">
        <f t="shared" si="6"/>
        <v>9.1743119266055051E-3</v>
      </c>
      <c r="W10" s="97">
        <f t="shared" si="7"/>
        <v>1</v>
      </c>
      <c r="X10" s="98">
        <f t="shared" si="8"/>
        <v>0</v>
      </c>
      <c r="Y10" s="98">
        <f t="shared" si="9"/>
        <v>1.1248593925759281E-3</v>
      </c>
      <c r="Z10" s="98">
        <f t="shared" si="10"/>
        <v>0</v>
      </c>
      <c r="AA10" s="98">
        <f t="shared" si="11"/>
        <v>6.6666666666666666E-2</v>
      </c>
      <c r="AB10" s="98">
        <f t="shared" si="12"/>
        <v>0</v>
      </c>
    </row>
    <row r="11" spans="1:28" ht="16">
      <c r="A11" s="61" t="s">
        <v>207</v>
      </c>
      <c r="B11" s="87">
        <v>4</v>
      </c>
      <c r="C11" s="87">
        <v>6</v>
      </c>
      <c r="D11" s="87">
        <v>2</v>
      </c>
      <c r="E11" s="87">
        <v>4</v>
      </c>
      <c r="F11" s="87">
        <v>3</v>
      </c>
      <c r="G11" s="87">
        <v>3</v>
      </c>
      <c r="H11" s="87"/>
      <c r="I11" s="91">
        <v>75</v>
      </c>
      <c r="J11" s="87">
        <v>2</v>
      </c>
      <c r="K11" s="87">
        <v>2</v>
      </c>
      <c r="L11" s="87"/>
      <c r="M11" s="87"/>
      <c r="N11" s="105">
        <f t="shared" si="0"/>
        <v>101</v>
      </c>
      <c r="P11" s="104" t="s">
        <v>207</v>
      </c>
      <c r="Q11" s="99">
        <f t="shared" si="1"/>
        <v>1.4545454545454545E-2</v>
      </c>
      <c r="R11" s="98">
        <f t="shared" si="2"/>
        <v>3.3936651583710408E-3</v>
      </c>
      <c r="S11" s="98">
        <f t="shared" si="3"/>
        <v>1.968503937007874E-3</v>
      </c>
      <c r="T11" s="96">
        <f t="shared" si="4"/>
        <v>5.2910052910052907E-3</v>
      </c>
      <c r="U11" s="98">
        <f t="shared" si="5"/>
        <v>9.8039215686274508E-3</v>
      </c>
      <c r="V11" s="98">
        <f t="shared" si="6"/>
        <v>1.3761467889908258E-2</v>
      </c>
      <c r="W11" s="98">
        <f t="shared" si="7"/>
        <v>0</v>
      </c>
      <c r="X11" s="97">
        <f t="shared" si="8"/>
        <v>1</v>
      </c>
      <c r="Y11" s="98">
        <f t="shared" si="9"/>
        <v>2.2497187851518562E-3</v>
      </c>
      <c r="Z11" s="98">
        <f t="shared" si="10"/>
        <v>6.269592476489028E-3</v>
      </c>
      <c r="AA11" s="98">
        <f t="shared" si="11"/>
        <v>0</v>
      </c>
      <c r="AB11" s="98">
        <f t="shared" si="12"/>
        <v>0</v>
      </c>
    </row>
    <row r="12" spans="1:28" ht="16">
      <c r="A12" s="61" t="s">
        <v>208</v>
      </c>
      <c r="B12" s="87">
        <v>6</v>
      </c>
      <c r="C12" s="87">
        <v>105</v>
      </c>
      <c r="D12" s="87">
        <v>100</v>
      </c>
      <c r="E12" s="87">
        <v>5</v>
      </c>
      <c r="F12" s="87">
        <v>5</v>
      </c>
      <c r="G12" s="87">
        <v>4</v>
      </c>
      <c r="H12" s="87">
        <v>1</v>
      </c>
      <c r="I12" s="87">
        <v>2</v>
      </c>
      <c r="J12" s="91">
        <v>889</v>
      </c>
      <c r="K12" s="87">
        <v>20</v>
      </c>
      <c r="L12" s="87"/>
      <c r="M12" s="87"/>
      <c r="N12" s="105">
        <f t="shared" si="0"/>
        <v>1137</v>
      </c>
      <c r="P12" s="104" t="s">
        <v>208</v>
      </c>
      <c r="Q12" s="99">
        <f t="shared" si="1"/>
        <v>2.181818181818182E-2</v>
      </c>
      <c r="R12" s="98">
        <f t="shared" si="2"/>
        <v>5.938914027149321E-2</v>
      </c>
      <c r="S12" s="98">
        <f t="shared" si="3"/>
        <v>9.8425196850393706E-2</v>
      </c>
      <c r="T12" s="96">
        <f t="shared" si="4"/>
        <v>6.6137566137566134E-3</v>
      </c>
      <c r="U12" s="98">
        <f t="shared" si="5"/>
        <v>1.6339869281045753E-2</v>
      </c>
      <c r="V12" s="98">
        <f t="shared" si="6"/>
        <v>1.834862385321101E-2</v>
      </c>
      <c r="W12" s="98">
        <f t="shared" si="7"/>
        <v>1.1111111111111112E-2</v>
      </c>
      <c r="X12" s="98">
        <f t="shared" si="8"/>
        <v>2.6666666666666668E-2</v>
      </c>
      <c r="Y12" s="97">
        <f t="shared" si="9"/>
        <v>1</v>
      </c>
      <c r="Z12" s="98">
        <f t="shared" si="10"/>
        <v>6.2695924764890276E-2</v>
      </c>
      <c r="AA12" s="98">
        <f t="shared" si="11"/>
        <v>0</v>
      </c>
      <c r="AB12" s="98">
        <f t="shared" si="12"/>
        <v>0</v>
      </c>
    </row>
    <row r="13" spans="1:28" ht="16">
      <c r="A13" s="61" t="s">
        <v>214</v>
      </c>
      <c r="B13" s="87">
        <v>4</v>
      </c>
      <c r="C13" s="87">
        <v>10</v>
      </c>
      <c r="D13" s="87">
        <v>10</v>
      </c>
      <c r="E13" s="87"/>
      <c r="F13" s="87">
        <v>1</v>
      </c>
      <c r="G13" s="87">
        <v>1</v>
      </c>
      <c r="H13" s="87"/>
      <c r="I13" s="87">
        <v>2</v>
      </c>
      <c r="J13" s="87">
        <v>20</v>
      </c>
      <c r="K13" s="91">
        <v>319</v>
      </c>
      <c r="L13" s="87"/>
      <c r="M13" s="87"/>
      <c r="N13" s="105">
        <f t="shared" si="0"/>
        <v>367</v>
      </c>
      <c r="P13" s="104" t="s">
        <v>214</v>
      </c>
      <c r="Q13" s="99">
        <f t="shared" si="1"/>
        <v>1.4545454545454545E-2</v>
      </c>
      <c r="R13" s="98">
        <f t="shared" si="2"/>
        <v>5.6561085972850677E-3</v>
      </c>
      <c r="S13" s="98">
        <f t="shared" si="3"/>
        <v>9.8425196850393699E-3</v>
      </c>
      <c r="T13" s="96">
        <f t="shared" si="4"/>
        <v>0</v>
      </c>
      <c r="U13" s="98">
        <f t="shared" si="5"/>
        <v>3.2679738562091504E-3</v>
      </c>
      <c r="V13" s="98">
        <f t="shared" si="6"/>
        <v>4.5871559633027525E-3</v>
      </c>
      <c r="W13" s="98">
        <f t="shared" si="7"/>
        <v>0</v>
      </c>
      <c r="X13" s="98">
        <f t="shared" si="8"/>
        <v>2.6666666666666668E-2</v>
      </c>
      <c r="Y13" s="98">
        <f t="shared" si="9"/>
        <v>2.2497187851518559E-2</v>
      </c>
      <c r="Z13" s="97">
        <f t="shared" si="10"/>
        <v>1</v>
      </c>
      <c r="AA13" s="98">
        <f t="shared" si="11"/>
        <v>0</v>
      </c>
      <c r="AB13" s="98">
        <f t="shared" si="12"/>
        <v>0</v>
      </c>
    </row>
    <row r="14" spans="1:28" ht="16">
      <c r="A14" s="61" t="s">
        <v>215</v>
      </c>
      <c r="B14" s="87">
        <v>1</v>
      </c>
      <c r="C14" s="87"/>
      <c r="D14" s="87"/>
      <c r="E14" s="87"/>
      <c r="F14" s="87">
        <v>1</v>
      </c>
      <c r="G14" s="87"/>
      <c r="H14" s="87">
        <v>1</v>
      </c>
      <c r="I14" s="87"/>
      <c r="J14" s="87"/>
      <c r="K14" s="87"/>
      <c r="L14" s="91">
        <v>15</v>
      </c>
      <c r="M14" s="87"/>
      <c r="N14" s="105">
        <f t="shared" si="0"/>
        <v>18</v>
      </c>
      <c r="P14" s="104" t="s">
        <v>215</v>
      </c>
      <c r="Q14" s="99">
        <f t="shared" si="1"/>
        <v>3.6363636363636364E-3</v>
      </c>
      <c r="R14" s="98">
        <f t="shared" si="2"/>
        <v>0</v>
      </c>
      <c r="S14" s="98">
        <f t="shared" si="3"/>
        <v>0</v>
      </c>
      <c r="T14" s="96">
        <f t="shared" si="4"/>
        <v>0</v>
      </c>
      <c r="U14" s="98">
        <f t="shared" si="5"/>
        <v>3.2679738562091504E-3</v>
      </c>
      <c r="V14" s="98">
        <f t="shared" si="6"/>
        <v>0</v>
      </c>
      <c r="W14" s="98">
        <f t="shared" si="7"/>
        <v>1.1111111111111112E-2</v>
      </c>
      <c r="X14" s="98">
        <f t="shared" si="8"/>
        <v>0</v>
      </c>
      <c r="Y14" s="98">
        <f t="shared" si="9"/>
        <v>0</v>
      </c>
      <c r="Z14" s="98">
        <f t="shared" si="10"/>
        <v>0</v>
      </c>
      <c r="AA14" s="97">
        <f t="shared" si="11"/>
        <v>1</v>
      </c>
      <c r="AB14" s="98">
        <f t="shared" si="12"/>
        <v>0</v>
      </c>
    </row>
    <row r="15" spans="1:28" ht="33" thickBot="1">
      <c r="A15" s="61" t="s">
        <v>216</v>
      </c>
      <c r="B15" s="87"/>
      <c r="C15" s="87"/>
      <c r="D15" s="87"/>
      <c r="E15" s="94"/>
      <c r="F15" s="87"/>
      <c r="G15" s="87"/>
      <c r="H15" s="87"/>
      <c r="I15" s="87"/>
      <c r="J15" s="87"/>
      <c r="K15" s="87"/>
      <c r="L15" s="87"/>
      <c r="M15" s="91">
        <v>8</v>
      </c>
      <c r="N15" s="105">
        <f t="shared" si="0"/>
        <v>8</v>
      </c>
      <c r="P15" s="104" t="s">
        <v>308</v>
      </c>
      <c r="Q15" s="100">
        <f t="shared" si="1"/>
        <v>0</v>
      </c>
      <c r="R15" s="101">
        <f t="shared" si="2"/>
        <v>0</v>
      </c>
      <c r="S15" s="101">
        <f t="shared" si="3"/>
        <v>0</v>
      </c>
      <c r="T15" s="103">
        <f t="shared" si="4"/>
        <v>0</v>
      </c>
      <c r="U15" s="101">
        <f t="shared" si="5"/>
        <v>0</v>
      </c>
      <c r="V15" s="101">
        <f t="shared" si="6"/>
        <v>0</v>
      </c>
      <c r="W15" s="101">
        <f t="shared" si="7"/>
        <v>0</v>
      </c>
      <c r="X15" s="101">
        <f t="shared" si="8"/>
        <v>0</v>
      </c>
      <c r="Y15" s="101">
        <f t="shared" si="9"/>
        <v>0</v>
      </c>
      <c r="Z15" s="101">
        <f t="shared" si="10"/>
        <v>0</v>
      </c>
      <c r="AA15" s="101">
        <f t="shared" si="11"/>
        <v>0</v>
      </c>
      <c r="AB15" s="102">
        <f t="shared" si="12"/>
        <v>1</v>
      </c>
    </row>
    <row r="16" spans="1:28" ht="15">
      <c r="A16" s="88"/>
      <c r="B16" s="89">
        <f>SUM(B4:B15)</f>
        <v>314</v>
      </c>
      <c r="C16" s="89">
        <f t="shared" ref="C16:M16" si="13">SUM(C4:C15)</f>
        <v>3718</v>
      </c>
      <c r="D16" s="89">
        <f t="shared" si="13"/>
        <v>2171</v>
      </c>
      <c r="E16" s="89">
        <f t="shared" si="13"/>
        <v>1559</v>
      </c>
      <c r="F16" s="89">
        <f t="shared" si="13"/>
        <v>679</v>
      </c>
      <c r="G16" s="89">
        <f t="shared" si="13"/>
        <v>499</v>
      </c>
      <c r="H16" s="89">
        <f t="shared" si="13"/>
        <v>186</v>
      </c>
      <c r="I16" s="89">
        <f t="shared" si="13"/>
        <v>101</v>
      </c>
      <c r="J16" s="89">
        <f t="shared" si="13"/>
        <v>1137</v>
      </c>
      <c r="K16" s="89">
        <f t="shared" si="13"/>
        <v>367</v>
      </c>
      <c r="L16" s="89">
        <f t="shared" si="13"/>
        <v>18</v>
      </c>
      <c r="M16" s="89">
        <f t="shared" si="13"/>
        <v>8</v>
      </c>
      <c r="P16" s="88" t="s">
        <v>303</v>
      </c>
      <c r="Q16" s="89">
        <v>314</v>
      </c>
      <c r="R16" s="89">
        <v>3718</v>
      </c>
      <c r="S16" s="89">
        <v>2171</v>
      </c>
      <c r="T16" s="89">
        <v>1559</v>
      </c>
      <c r="U16" s="89">
        <v>679</v>
      </c>
      <c r="V16" s="89">
        <v>499</v>
      </c>
      <c r="W16" s="89">
        <v>186</v>
      </c>
      <c r="X16" s="89">
        <v>101</v>
      </c>
      <c r="Y16" s="89">
        <v>1137</v>
      </c>
      <c r="Z16" s="89">
        <v>367</v>
      </c>
      <c r="AA16" s="89">
        <v>18</v>
      </c>
      <c r="AB16" s="89">
        <v>8</v>
      </c>
    </row>
    <row r="17" spans="1:28" ht="26">
      <c r="B17" s="84" t="str">
        <f>Table_4.0_Information!$A$5</f>
        <v>Kentucky</v>
      </c>
      <c r="C17" s="84"/>
      <c r="D17" s="84"/>
      <c r="E17" s="84"/>
      <c r="F17" s="84"/>
      <c r="G17" s="84"/>
      <c r="H17" s="84"/>
      <c r="I17" s="84"/>
      <c r="J17" s="84"/>
      <c r="K17" s="84"/>
      <c r="L17" s="84"/>
      <c r="M17" s="84"/>
      <c r="P17" s="296" t="s">
        <v>59</v>
      </c>
      <c r="Q17" s="296"/>
      <c r="R17" s="296"/>
      <c r="S17" s="296"/>
      <c r="T17" s="296"/>
      <c r="U17" s="296"/>
      <c r="V17" s="296"/>
      <c r="W17" s="296"/>
      <c r="X17" s="296"/>
      <c r="Y17" s="296"/>
      <c r="Z17" s="296"/>
      <c r="AA17" s="296"/>
      <c r="AB17" s="296"/>
    </row>
    <row r="18" spans="1:28" ht="48">
      <c r="A18" s="58" t="s">
        <v>199</v>
      </c>
      <c r="B18" s="93" t="s">
        <v>200</v>
      </c>
      <c r="C18" s="93" t="s">
        <v>201</v>
      </c>
      <c r="D18" s="92" t="s">
        <v>212</v>
      </c>
      <c r="E18" s="93" t="s">
        <v>213</v>
      </c>
      <c r="F18" s="93" t="s">
        <v>204</v>
      </c>
      <c r="G18" s="93" t="s">
        <v>205</v>
      </c>
      <c r="H18" s="93" t="s">
        <v>206</v>
      </c>
      <c r="I18" s="93" t="s">
        <v>207</v>
      </c>
      <c r="J18" s="93" t="s">
        <v>208</v>
      </c>
      <c r="K18" s="93" t="s">
        <v>214</v>
      </c>
      <c r="L18" s="93" t="s">
        <v>215</v>
      </c>
      <c r="M18" s="93" t="s">
        <v>216</v>
      </c>
      <c r="P18" s="58"/>
      <c r="Q18" s="93" t="s">
        <v>200</v>
      </c>
      <c r="R18" s="93" t="s">
        <v>201</v>
      </c>
      <c r="S18" s="92" t="s">
        <v>304</v>
      </c>
      <c r="T18" s="93" t="s">
        <v>305</v>
      </c>
      <c r="U18" s="93" t="s">
        <v>204</v>
      </c>
      <c r="V18" s="93" t="s">
        <v>306</v>
      </c>
      <c r="W18" s="93" t="s">
        <v>307</v>
      </c>
      <c r="X18" s="93" t="s">
        <v>207</v>
      </c>
      <c r="Y18" s="93" t="s">
        <v>208</v>
      </c>
      <c r="Z18" s="93" t="s">
        <v>214</v>
      </c>
      <c r="AA18" s="93" t="s">
        <v>215</v>
      </c>
      <c r="AB18" s="93" t="s">
        <v>308</v>
      </c>
    </row>
    <row r="19" spans="1:28" ht="16">
      <c r="A19" s="61" t="s">
        <v>200</v>
      </c>
      <c r="B19" s="83">
        <v>637</v>
      </c>
      <c r="C19" s="62">
        <v>34</v>
      </c>
      <c r="D19" s="62">
        <v>20</v>
      </c>
      <c r="E19" s="62">
        <v>14</v>
      </c>
      <c r="F19" s="62">
        <v>37</v>
      </c>
      <c r="G19" s="62">
        <v>36</v>
      </c>
      <c r="H19" s="62" t="s">
        <v>255</v>
      </c>
      <c r="I19" s="62">
        <v>7</v>
      </c>
      <c r="J19" s="62">
        <v>28</v>
      </c>
      <c r="K19" s="62" t="s">
        <v>255</v>
      </c>
      <c r="L19" s="62" t="s">
        <v>255</v>
      </c>
      <c r="M19" s="62"/>
      <c r="N19" s="105">
        <f t="shared" ref="N19:N30" si="14">SUM(B19:M19)</f>
        <v>813</v>
      </c>
      <c r="P19" s="104" t="s">
        <v>200</v>
      </c>
      <c r="Q19" s="97">
        <f>B19/637</f>
        <v>1</v>
      </c>
      <c r="R19" s="98">
        <f>C19/16804</f>
        <v>2.0233277791002141E-3</v>
      </c>
      <c r="S19" s="98">
        <f>D19/4341</f>
        <v>4.6072333563695004E-3</v>
      </c>
      <c r="T19" s="96">
        <f>E19/12535</f>
        <v>1.1168727562824092E-3</v>
      </c>
      <c r="U19" s="98">
        <f>F19/1659</f>
        <v>2.2302591922845089E-2</v>
      </c>
      <c r="V19" s="98">
        <f>G19/1437</f>
        <v>2.5052192066805846E-2</v>
      </c>
      <c r="W19" s="98" t="s">
        <v>255</v>
      </c>
      <c r="X19" s="98">
        <f>I19/426</f>
        <v>1.6431924882629109E-2</v>
      </c>
      <c r="Y19" s="98">
        <f>J19/2259</f>
        <v>1.2394864984506419E-2</v>
      </c>
      <c r="Z19" s="98" t="s">
        <v>255</v>
      </c>
      <c r="AA19" s="98" t="s">
        <v>255</v>
      </c>
      <c r="AB19" s="98">
        <f>M19/46</f>
        <v>0</v>
      </c>
    </row>
    <row r="20" spans="1:28" ht="16">
      <c r="A20" s="61" t="s">
        <v>201</v>
      </c>
      <c r="B20" s="62">
        <v>34</v>
      </c>
      <c r="C20" s="83">
        <v>16804</v>
      </c>
      <c r="D20" s="62">
        <v>4341</v>
      </c>
      <c r="E20" s="62">
        <v>12535</v>
      </c>
      <c r="F20" s="62">
        <v>247</v>
      </c>
      <c r="G20" s="62">
        <v>247</v>
      </c>
      <c r="H20" s="62"/>
      <c r="I20" s="62">
        <v>58</v>
      </c>
      <c r="J20" s="62">
        <v>441</v>
      </c>
      <c r="K20" s="62">
        <v>24</v>
      </c>
      <c r="L20" s="62"/>
      <c r="M20" s="62" t="s">
        <v>255</v>
      </c>
      <c r="N20" s="105">
        <f t="shared" si="14"/>
        <v>34731</v>
      </c>
      <c r="P20" s="104" t="s">
        <v>201</v>
      </c>
      <c r="Q20" s="99">
        <f t="shared" ref="Q20:Q30" si="15">B20/637</f>
        <v>5.3375196232339092E-2</v>
      </c>
      <c r="R20" s="97">
        <f t="shared" ref="R20:R29" si="16">C20/16804</f>
        <v>1</v>
      </c>
      <c r="S20" s="106">
        <f t="shared" ref="S20:S29" si="17">D20/4341</f>
        <v>1</v>
      </c>
      <c r="T20" s="107">
        <f t="shared" ref="T20:T30" si="18">E20/12535</f>
        <v>1</v>
      </c>
      <c r="U20" s="98">
        <f t="shared" ref="U20:U27" si="19">F20/1659</f>
        <v>0.14888487040385776</v>
      </c>
      <c r="V20" s="98">
        <f t="shared" ref="V20:V27" si="20">G20/1437</f>
        <v>0.17188587334725122</v>
      </c>
      <c r="W20" s="98">
        <f>H20/226</f>
        <v>0</v>
      </c>
      <c r="X20" s="98">
        <f t="shared" ref="X20:X30" si="21">I20/426</f>
        <v>0.13615023474178403</v>
      </c>
      <c r="Y20" s="98">
        <f t="shared" ref="Y20:Y30" si="22">J20/2259</f>
        <v>0.19521912350597609</v>
      </c>
      <c r="Z20" s="98">
        <f>K20/552</f>
        <v>4.3478260869565216E-2</v>
      </c>
      <c r="AA20" s="98">
        <f>L20/28</f>
        <v>0</v>
      </c>
      <c r="AB20" s="98" t="s">
        <v>255</v>
      </c>
    </row>
    <row r="21" spans="1:28" ht="32">
      <c r="A21" s="63" t="s">
        <v>212</v>
      </c>
      <c r="B21" s="62">
        <v>20</v>
      </c>
      <c r="C21" s="62">
        <v>4341</v>
      </c>
      <c r="D21" s="83">
        <v>4341</v>
      </c>
      <c r="E21" s="62">
        <v>72</v>
      </c>
      <c r="F21" s="62">
        <v>84</v>
      </c>
      <c r="G21" s="62">
        <v>84</v>
      </c>
      <c r="H21" s="62"/>
      <c r="I21" s="62">
        <v>16</v>
      </c>
      <c r="J21" s="62">
        <v>340</v>
      </c>
      <c r="K21" s="62">
        <v>10</v>
      </c>
      <c r="L21" s="62"/>
      <c r="M21" s="62" t="s">
        <v>255</v>
      </c>
      <c r="N21" s="105">
        <f t="shared" si="14"/>
        <v>9308</v>
      </c>
      <c r="P21" s="63" t="s">
        <v>304</v>
      </c>
      <c r="Q21" s="99">
        <f t="shared" si="15"/>
        <v>3.1397174254317109E-2</v>
      </c>
      <c r="R21" s="98">
        <f t="shared" si="16"/>
        <v>0.25833134967864796</v>
      </c>
      <c r="S21" s="97">
        <f t="shared" si="17"/>
        <v>1</v>
      </c>
      <c r="T21" s="96">
        <f t="shared" si="18"/>
        <v>5.7439170323095329E-3</v>
      </c>
      <c r="U21" s="98">
        <f t="shared" si="19"/>
        <v>5.0632911392405063E-2</v>
      </c>
      <c r="V21" s="98">
        <f t="shared" si="20"/>
        <v>5.845511482254697E-2</v>
      </c>
      <c r="W21" s="98">
        <f t="shared" ref="W21:W23" si="23">H21/226</f>
        <v>0</v>
      </c>
      <c r="X21" s="98">
        <f t="shared" si="21"/>
        <v>3.7558685446009391E-2</v>
      </c>
      <c r="Y21" s="98">
        <f t="shared" si="22"/>
        <v>0.15050907481186365</v>
      </c>
      <c r="Z21" s="98">
        <f t="shared" ref="Z21:Z22" si="24">K21/552</f>
        <v>1.8115942028985508E-2</v>
      </c>
      <c r="AA21" s="98">
        <f t="shared" ref="AA21:AA22" si="25">L21/28</f>
        <v>0</v>
      </c>
      <c r="AB21" s="98" t="s">
        <v>255</v>
      </c>
    </row>
    <row r="22" spans="1:28" ht="16">
      <c r="A22" s="61" t="s">
        <v>213</v>
      </c>
      <c r="B22" s="62">
        <v>14</v>
      </c>
      <c r="C22" s="62">
        <v>12535</v>
      </c>
      <c r="D22" s="62">
        <v>72</v>
      </c>
      <c r="E22" s="83">
        <v>12535</v>
      </c>
      <c r="F22" s="62">
        <v>163</v>
      </c>
      <c r="G22" s="62">
        <v>163</v>
      </c>
      <c r="H22" s="62"/>
      <c r="I22" s="62">
        <v>42</v>
      </c>
      <c r="J22" s="62">
        <v>101</v>
      </c>
      <c r="K22" s="62">
        <v>14</v>
      </c>
      <c r="L22" s="62"/>
      <c r="M22" s="62"/>
      <c r="N22" s="105">
        <f t="shared" si="14"/>
        <v>25639</v>
      </c>
      <c r="P22" s="104" t="s">
        <v>305</v>
      </c>
      <c r="Q22" s="99">
        <f t="shared" si="15"/>
        <v>2.197802197802198E-2</v>
      </c>
      <c r="R22" s="98">
        <f t="shared" si="16"/>
        <v>0.74595334444179962</v>
      </c>
      <c r="S22" s="98">
        <f t="shared" si="17"/>
        <v>1.6586040082930201E-2</v>
      </c>
      <c r="T22" s="95">
        <f t="shared" si="18"/>
        <v>1</v>
      </c>
      <c r="U22" s="98">
        <f t="shared" si="19"/>
        <v>9.8251959011452686E-2</v>
      </c>
      <c r="V22" s="98">
        <f t="shared" si="20"/>
        <v>0.11343075852470424</v>
      </c>
      <c r="W22" s="98">
        <f t="shared" si="23"/>
        <v>0</v>
      </c>
      <c r="X22" s="98">
        <f t="shared" si="21"/>
        <v>9.8591549295774641E-2</v>
      </c>
      <c r="Y22" s="98">
        <f t="shared" si="22"/>
        <v>4.4710048694112436E-2</v>
      </c>
      <c r="Z22" s="98">
        <f t="shared" si="24"/>
        <v>2.5362318840579712E-2</v>
      </c>
      <c r="AA22" s="98">
        <f t="shared" si="25"/>
        <v>0</v>
      </c>
      <c r="AB22" s="98">
        <f>M22/46</f>
        <v>0</v>
      </c>
    </row>
    <row r="23" spans="1:28" ht="16">
      <c r="A23" s="61" t="s">
        <v>204</v>
      </c>
      <c r="B23" s="62">
        <v>37</v>
      </c>
      <c r="C23" s="62">
        <v>247</v>
      </c>
      <c r="D23" s="62">
        <v>84</v>
      </c>
      <c r="E23" s="62">
        <v>163</v>
      </c>
      <c r="F23" s="83">
        <v>1659</v>
      </c>
      <c r="G23" s="62">
        <v>1437</v>
      </c>
      <c r="H23" s="62">
        <v>226</v>
      </c>
      <c r="I23" s="62">
        <v>20</v>
      </c>
      <c r="J23" s="62">
        <v>60</v>
      </c>
      <c r="K23" s="62" t="s">
        <v>255</v>
      </c>
      <c r="L23" s="62" t="s">
        <v>255</v>
      </c>
      <c r="M23" s="62" t="s">
        <v>255</v>
      </c>
      <c r="N23" s="105">
        <f t="shared" si="14"/>
        <v>3933</v>
      </c>
      <c r="P23" s="104" t="s">
        <v>204</v>
      </c>
      <c r="Q23" s="99">
        <f t="shared" si="15"/>
        <v>5.8084772370486655E-2</v>
      </c>
      <c r="R23" s="98">
        <f t="shared" si="16"/>
        <v>1.4698881218757438E-2</v>
      </c>
      <c r="S23" s="98">
        <f t="shared" si="17"/>
        <v>1.9350380096751902E-2</v>
      </c>
      <c r="T23" s="96">
        <f t="shared" si="18"/>
        <v>1.3003589948145194E-2</v>
      </c>
      <c r="U23" s="97">
        <f t="shared" si="19"/>
        <v>1</v>
      </c>
      <c r="V23" s="106">
        <f t="shared" si="20"/>
        <v>1</v>
      </c>
      <c r="W23" s="106">
        <f t="shared" si="23"/>
        <v>1</v>
      </c>
      <c r="X23" s="98">
        <f t="shared" si="21"/>
        <v>4.6948356807511735E-2</v>
      </c>
      <c r="Y23" s="98">
        <f t="shared" si="22"/>
        <v>2.6560424966799469E-2</v>
      </c>
      <c r="Z23" s="98" t="s">
        <v>255</v>
      </c>
      <c r="AA23" s="98" t="s">
        <v>255</v>
      </c>
      <c r="AB23" s="98" t="s">
        <v>255</v>
      </c>
    </row>
    <row r="24" spans="1:28" ht="16">
      <c r="A24" s="61" t="s">
        <v>205</v>
      </c>
      <c r="B24" s="62">
        <v>36</v>
      </c>
      <c r="C24" s="62">
        <v>247</v>
      </c>
      <c r="D24" s="62">
        <v>84</v>
      </c>
      <c r="E24" s="62">
        <v>163</v>
      </c>
      <c r="F24" s="62">
        <v>1437</v>
      </c>
      <c r="G24" s="83">
        <v>1437</v>
      </c>
      <c r="H24" s="62" t="s">
        <v>255</v>
      </c>
      <c r="I24" s="62">
        <v>20</v>
      </c>
      <c r="J24" s="62">
        <v>60</v>
      </c>
      <c r="K24" s="62" t="s">
        <v>255</v>
      </c>
      <c r="L24" s="62" t="s">
        <v>255</v>
      </c>
      <c r="M24" s="62" t="s">
        <v>255</v>
      </c>
      <c r="N24" s="105">
        <f t="shared" si="14"/>
        <v>3484</v>
      </c>
      <c r="P24" s="104" t="s">
        <v>306</v>
      </c>
      <c r="Q24" s="99">
        <f t="shared" si="15"/>
        <v>5.6514913657770803E-2</v>
      </c>
      <c r="R24" s="98">
        <f t="shared" si="16"/>
        <v>1.4698881218757438E-2</v>
      </c>
      <c r="S24" s="98">
        <f t="shared" si="17"/>
        <v>1.9350380096751902E-2</v>
      </c>
      <c r="T24" s="96">
        <f t="shared" si="18"/>
        <v>1.3003589948145194E-2</v>
      </c>
      <c r="U24" s="98">
        <f t="shared" si="19"/>
        <v>0.86618444846292952</v>
      </c>
      <c r="V24" s="97">
        <f t="shared" si="20"/>
        <v>1</v>
      </c>
      <c r="W24" s="98" t="s">
        <v>255</v>
      </c>
      <c r="X24" s="98">
        <f t="shared" si="21"/>
        <v>4.6948356807511735E-2</v>
      </c>
      <c r="Y24" s="98">
        <f t="shared" si="22"/>
        <v>2.6560424966799469E-2</v>
      </c>
      <c r="Z24" s="98" t="s">
        <v>255</v>
      </c>
      <c r="AA24" s="98" t="s">
        <v>255</v>
      </c>
      <c r="AB24" s="98" t="s">
        <v>255</v>
      </c>
    </row>
    <row r="25" spans="1:28" ht="16">
      <c r="A25" s="61" t="s">
        <v>206</v>
      </c>
      <c r="B25" s="62" t="s">
        <v>255</v>
      </c>
      <c r="C25" s="62"/>
      <c r="D25" s="62"/>
      <c r="E25" s="62"/>
      <c r="F25" s="62">
        <v>226</v>
      </c>
      <c r="G25" s="62" t="s">
        <v>255</v>
      </c>
      <c r="H25" s="83">
        <v>226</v>
      </c>
      <c r="I25" s="62"/>
      <c r="J25" s="62"/>
      <c r="K25" s="62"/>
      <c r="L25" s="62"/>
      <c r="M25" s="62"/>
      <c r="N25" s="105">
        <f t="shared" si="14"/>
        <v>452</v>
      </c>
      <c r="P25" s="104" t="s">
        <v>307</v>
      </c>
      <c r="Q25" s="99" t="s">
        <v>255</v>
      </c>
      <c r="R25" s="98">
        <f t="shared" si="16"/>
        <v>0</v>
      </c>
      <c r="S25" s="98">
        <f t="shared" si="17"/>
        <v>0</v>
      </c>
      <c r="T25" s="96">
        <f t="shared" si="18"/>
        <v>0</v>
      </c>
      <c r="U25" s="98">
        <f t="shared" si="19"/>
        <v>0.13622664255575648</v>
      </c>
      <c r="V25" s="98" t="s">
        <v>255</v>
      </c>
      <c r="W25" s="97">
        <f>H25/226</f>
        <v>1</v>
      </c>
      <c r="X25" s="98">
        <f t="shared" si="21"/>
        <v>0</v>
      </c>
      <c r="Y25" s="98">
        <f t="shared" si="22"/>
        <v>0</v>
      </c>
      <c r="Z25" s="98">
        <f>K25/552</f>
        <v>0</v>
      </c>
      <c r="AA25" s="98">
        <f>L25/28</f>
        <v>0</v>
      </c>
      <c r="AB25" s="98">
        <f t="shared" ref="AB25:AB27" si="26">M25/46</f>
        <v>0</v>
      </c>
    </row>
    <row r="26" spans="1:28" ht="16">
      <c r="A26" s="61" t="s">
        <v>207</v>
      </c>
      <c r="B26" s="62">
        <v>7</v>
      </c>
      <c r="C26" s="62">
        <v>58</v>
      </c>
      <c r="D26" s="62">
        <v>16</v>
      </c>
      <c r="E26" s="62">
        <v>42</v>
      </c>
      <c r="F26" s="62">
        <v>20</v>
      </c>
      <c r="G26" s="62">
        <v>20</v>
      </c>
      <c r="H26" s="62"/>
      <c r="I26" s="83">
        <v>248</v>
      </c>
      <c r="J26" s="62">
        <v>15</v>
      </c>
      <c r="K26" s="62" t="s">
        <v>255</v>
      </c>
      <c r="L26" s="62" t="s">
        <v>255</v>
      </c>
      <c r="M26" s="62"/>
      <c r="N26" s="105">
        <f t="shared" si="14"/>
        <v>426</v>
      </c>
      <c r="P26" s="104" t="s">
        <v>207</v>
      </c>
      <c r="Q26" s="99">
        <f t="shared" si="15"/>
        <v>1.098901098901099E-2</v>
      </c>
      <c r="R26" s="98">
        <f t="shared" si="16"/>
        <v>3.4515591525827185E-3</v>
      </c>
      <c r="S26" s="98">
        <f t="shared" si="17"/>
        <v>3.6857866850956E-3</v>
      </c>
      <c r="T26" s="96">
        <f t="shared" si="18"/>
        <v>3.3506182688472276E-3</v>
      </c>
      <c r="U26" s="98">
        <f t="shared" si="19"/>
        <v>1.2055455093429777E-2</v>
      </c>
      <c r="V26" s="98">
        <f t="shared" si="20"/>
        <v>1.3917884481558803E-2</v>
      </c>
      <c r="W26" s="98">
        <f t="shared" ref="W26:W30" si="27">H26/226</f>
        <v>0</v>
      </c>
      <c r="X26" s="97">
        <f t="shared" si="21"/>
        <v>0.5821596244131455</v>
      </c>
      <c r="Y26" s="98">
        <f t="shared" si="22"/>
        <v>6.6401062416998674E-3</v>
      </c>
      <c r="Z26" s="98" t="s">
        <v>255</v>
      </c>
      <c r="AA26" s="98" t="s">
        <v>255</v>
      </c>
      <c r="AB26" s="98">
        <f t="shared" si="26"/>
        <v>0</v>
      </c>
    </row>
    <row r="27" spans="1:28" ht="16">
      <c r="A27" s="61" t="s">
        <v>208</v>
      </c>
      <c r="B27" s="62">
        <v>28</v>
      </c>
      <c r="C27" s="62">
        <v>441</v>
      </c>
      <c r="D27" s="62">
        <v>340</v>
      </c>
      <c r="E27" s="62">
        <v>101</v>
      </c>
      <c r="F27" s="62">
        <v>60</v>
      </c>
      <c r="G27" s="62">
        <v>60</v>
      </c>
      <c r="H27" s="62"/>
      <c r="I27" s="62">
        <v>15</v>
      </c>
      <c r="J27" s="83">
        <v>2259</v>
      </c>
      <c r="K27" s="62">
        <v>30</v>
      </c>
      <c r="L27" s="62"/>
      <c r="M27" s="62">
        <v>5</v>
      </c>
      <c r="N27" s="105">
        <f t="shared" si="14"/>
        <v>3339</v>
      </c>
      <c r="P27" s="104" t="s">
        <v>208</v>
      </c>
      <c r="Q27" s="99">
        <f t="shared" si="15"/>
        <v>4.3956043956043959E-2</v>
      </c>
      <c r="R27" s="98">
        <f t="shared" si="16"/>
        <v>2.6243751487741013E-2</v>
      </c>
      <c r="S27" s="98">
        <f t="shared" si="17"/>
        <v>7.8322967058281498E-2</v>
      </c>
      <c r="T27" s="96">
        <f t="shared" si="18"/>
        <v>8.0574391703230955E-3</v>
      </c>
      <c r="U27" s="98">
        <f t="shared" si="19"/>
        <v>3.6166365280289332E-2</v>
      </c>
      <c r="V27" s="98">
        <f t="shared" si="20"/>
        <v>4.1753653444676408E-2</v>
      </c>
      <c r="W27" s="98">
        <f t="shared" si="27"/>
        <v>0</v>
      </c>
      <c r="X27" s="98">
        <f t="shared" si="21"/>
        <v>3.5211267605633804E-2</v>
      </c>
      <c r="Y27" s="97">
        <f t="shared" si="22"/>
        <v>1</v>
      </c>
      <c r="Z27" s="98">
        <f t="shared" ref="Z27:Z29" si="28">K27/552</f>
        <v>5.434782608695652E-2</v>
      </c>
      <c r="AA27" s="98">
        <f t="shared" ref="AA27:AA30" si="29">L27/28</f>
        <v>0</v>
      </c>
      <c r="AB27" s="98">
        <f t="shared" si="26"/>
        <v>0.10869565217391304</v>
      </c>
    </row>
    <row r="28" spans="1:28" ht="16">
      <c r="A28" s="61" t="s">
        <v>214</v>
      </c>
      <c r="B28" s="62" t="s">
        <v>255</v>
      </c>
      <c r="C28" s="62">
        <v>24</v>
      </c>
      <c r="D28" s="62">
        <v>10</v>
      </c>
      <c r="E28" s="62">
        <v>14</v>
      </c>
      <c r="F28" s="62" t="s">
        <v>255</v>
      </c>
      <c r="G28" s="62" t="s">
        <v>255</v>
      </c>
      <c r="H28" s="62"/>
      <c r="I28" s="62" t="s">
        <v>255</v>
      </c>
      <c r="J28" s="62">
        <v>30</v>
      </c>
      <c r="K28" s="83">
        <v>552</v>
      </c>
      <c r="L28" s="62"/>
      <c r="M28" s="62" t="s">
        <v>255</v>
      </c>
      <c r="N28" s="105">
        <f t="shared" si="14"/>
        <v>630</v>
      </c>
      <c r="P28" s="104" t="s">
        <v>214</v>
      </c>
      <c r="Q28" s="99" t="s">
        <v>255</v>
      </c>
      <c r="R28" s="98">
        <f t="shared" si="16"/>
        <v>1.4282313734825041E-3</v>
      </c>
      <c r="S28" s="98">
        <f t="shared" si="17"/>
        <v>2.3036166781847502E-3</v>
      </c>
      <c r="T28" s="96">
        <f t="shared" si="18"/>
        <v>1.1168727562824092E-3</v>
      </c>
      <c r="U28" s="98" t="s">
        <v>255</v>
      </c>
      <c r="V28" s="98" t="s">
        <v>255</v>
      </c>
      <c r="W28" s="98">
        <f t="shared" si="27"/>
        <v>0</v>
      </c>
      <c r="X28" s="98" t="s">
        <v>255</v>
      </c>
      <c r="Y28" s="98">
        <f t="shared" si="22"/>
        <v>1.3280212483399735E-2</v>
      </c>
      <c r="Z28" s="97">
        <f t="shared" si="28"/>
        <v>1</v>
      </c>
      <c r="AA28" s="98">
        <f t="shared" si="29"/>
        <v>0</v>
      </c>
      <c r="AB28" s="98" t="s">
        <v>255</v>
      </c>
    </row>
    <row r="29" spans="1:28" ht="16">
      <c r="A29" s="61" t="s">
        <v>215</v>
      </c>
      <c r="B29" s="62" t="s">
        <v>255</v>
      </c>
      <c r="C29" s="62"/>
      <c r="D29" s="62"/>
      <c r="E29" s="62"/>
      <c r="F29" s="62" t="s">
        <v>255</v>
      </c>
      <c r="G29" s="62" t="s">
        <v>255</v>
      </c>
      <c r="H29" s="62"/>
      <c r="I29" s="62" t="s">
        <v>255</v>
      </c>
      <c r="J29" s="62"/>
      <c r="K29" s="62"/>
      <c r="L29" s="83">
        <v>28</v>
      </c>
      <c r="M29" s="62"/>
      <c r="N29" s="105">
        <f t="shared" si="14"/>
        <v>28</v>
      </c>
      <c r="P29" s="104" t="s">
        <v>215</v>
      </c>
      <c r="Q29" s="99" t="s">
        <v>255</v>
      </c>
      <c r="R29" s="98">
        <f t="shared" si="16"/>
        <v>0</v>
      </c>
      <c r="S29" s="98">
        <f t="shared" si="17"/>
        <v>0</v>
      </c>
      <c r="T29" s="96">
        <f t="shared" si="18"/>
        <v>0</v>
      </c>
      <c r="U29" s="98" t="s">
        <v>255</v>
      </c>
      <c r="V29" s="98" t="s">
        <v>255</v>
      </c>
      <c r="W29" s="98">
        <f t="shared" si="27"/>
        <v>0</v>
      </c>
      <c r="X29" s="98" t="s">
        <v>255</v>
      </c>
      <c r="Y29" s="98">
        <f t="shared" si="22"/>
        <v>0</v>
      </c>
      <c r="Z29" s="98">
        <f t="shared" si="28"/>
        <v>0</v>
      </c>
      <c r="AA29" s="97">
        <f t="shared" si="29"/>
        <v>1</v>
      </c>
      <c r="AB29" s="98">
        <f t="shared" ref="AB29:AB30" si="30">M29/46</f>
        <v>0</v>
      </c>
    </row>
    <row r="30" spans="1:28" ht="33" thickBot="1">
      <c r="A30" s="61" t="s">
        <v>216</v>
      </c>
      <c r="B30" s="62"/>
      <c r="C30" s="62" t="s">
        <v>255</v>
      </c>
      <c r="D30" s="62" t="s">
        <v>255</v>
      </c>
      <c r="E30" s="62"/>
      <c r="F30" s="62" t="s">
        <v>255</v>
      </c>
      <c r="G30" s="62" t="s">
        <v>255</v>
      </c>
      <c r="H30" s="62"/>
      <c r="I30" s="62"/>
      <c r="J30" s="62">
        <v>5</v>
      </c>
      <c r="K30" s="62" t="s">
        <v>255</v>
      </c>
      <c r="L30" s="62"/>
      <c r="M30" s="83">
        <v>46</v>
      </c>
      <c r="N30" s="105">
        <f t="shared" si="14"/>
        <v>51</v>
      </c>
      <c r="P30" s="104" t="s">
        <v>308</v>
      </c>
      <c r="Q30" s="100">
        <f t="shared" si="15"/>
        <v>0</v>
      </c>
      <c r="R30" s="101" t="s">
        <v>255</v>
      </c>
      <c r="S30" s="101" t="s">
        <v>255</v>
      </c>
      <c r="T30" s="103">
        <f t="shared" si="18"/>
        <v>0</v>
      </c>
      <c r="U30" s="101" t="s">
        <v>255</v>
      </c>
      <c r="V30" s="101" t="s">
        <v>255</v>
      </c>
      <c r="W30" s="101">
        <f t="shared" si="27"/>
        <v>0</v>
      </c>
      <c r="X30" s="101">
        <f t="shared" si="21"/>
        <v>0</v>
      </c>
      <c r="Y30" s="101">
        <f t="shared" si="22"/>
        <v>2.213368747233289E-3</v>
      </c>
      <c r="Z30" s="101" t="s">
        <v>255</v>
      </c>
      <c r="AA30" s="101">
        <f t="shared" si="29"/>
        <v>0</v>
      </c>
      <c r="AB30" s="102">
        <f t="shared" si="30"/>
        <v>1</v>
      </c>
    </row>
    <row r="31" spans="1:28" ht="15">
      <c r="A31" s="88"/>
      <c r="B31" s="90">
        <f>SUM(B19:B30)</f>
        <v>813</v>
      </c>
      <c r="C31" s="90">
        <f t="shared" ref="C31:M31" si="31">SUM(C19:C30)</f>
        <v>34731</v>
      </c>
      <c r="D31" s="90">
        <f t="shared" si="31"/>
        <v>9308</v>
      </c>
      <c r="E31" s="90">
        <f t="shared" si="31"/>
        <v>25639</v>
      </c>
      <c r="F31" s="90">
        <f t="shared" si="31"/>
        <v>3933</v>
      </c>
      <c r="G31" s="90">
        <f t="shared" si="31"/>
        <v>3484</v>
      </c>
      <c r="H31" s="90">
        <f t="shared" si="31"/>
        <v>452</v>
      </c>
      <c r="I31" s="90">
        <f t="shared" si="31"/>
        <v>426</v>
      </c>
      <c r="J31" s="90">
        <f t="shared" si="31"/>
        <v>3339</v>
      </c>
      <c r="K31" s="90">
        <f t="shared" si="31"/>
        <v>630</v>
      </c>
      <c r="L31" s="90">
        <f t="shared" si="31"/>
        <v>28</v>
      </c>
      <c r="M31" s="90">
        <f t="shared" si="31"/>
        <v>51</v>
      </c>
      <c r="P31" s="88" t="s">
        <v>303</v>
      </c>
      <c r="Q31" s="89">
        <v>813</v>
      </c>
      <c r="R31" s="89">
        <v>34731</v>
      </c>
      <c r="S31" s="89">
        <v>9308</v>
      </c>
      <c r="T31" s="89">
        <v>25639</v>
      </c>
      <c r="U31" s="89">
        <v>3933</v>
      </c>
      <c r="V31" s="89">
        <v>3484</v>
      </c>
      <c r="W31" s="89">
        <v>452</v>
      </c>
      <c r="X31" s="89">
        <v>426</v>
      </c>
      <c r="Y31" s="89">
        <v>3339</v>
      </c>
      <c r="Z31" s="89">
        <v>630</v>
      </c>
      <c r="AA31" s="89">
        <v>28</v>
      </c>
      <c r="AB31" s="89">
        <v>51</v>
      </c>
    </row>
    <row r="32" spans="1:28" ht="26">
      <c r="B32" s="84" t="str">
        <f>Table_4.0_Information!$A$6</f>
        <v>New Mexico</v>
      </c>
      <c r="C32" s="84"/>
      <c r="D32" s="84"/>
      <c r="E32" s="84"/>
      <c r="F32" s="84"/>
      <c r="G32" s="84"/>
      <c r="H32" s="84"/>
      <c r="I32" s="84"/>
      <c r="J32" s="84"/>
      <c r="K32" s="84"/>
      <c r="L32" s="84"/>
      <c r="M32" s="84"/>
      <c r="P32" s="296" t="s">
        <v>60</v>
      </c>
      <c r="Q32" s="296"/>
      <c r="R32" s="296"/>
      <c r="S32" s="296"/>
      <c r="T32" s="296"/>
      <c r="U32" s="296"/>
      <c r="V32" s="296"/>
      <c r="W32" s="296"/>
      <c r="X32" s="296"/>
      <c r="Y32" s="296"/>
      <c r="Z32" s="296"/>
      <c r="AA32" s="296"/>
      <c r="AB32" s="296"/>
    </row>
    <row r="33" spans="1:28" ht="48">
      <c r="A33" s="58" t="s">
        <v>199</v>
      </c>
      <c r="B33" s="93" t="s">
        <v>200</v>
      </c>
      <c r="C33" s="93" t="s">
        <v>201</v>
      </c>
      <c r="D33" s="92" t="s">
        <v>212</v>
      </c>
      <c r="E33" s="93" t="s">
        <v>213</v>
      </c>
      <c r="F33" s="93" t="s">
        <v>204</v>
      </c>
      <c r="G33" s="93" t="s">
        <v>205</v>
      </c>
      <c r="H33" s="93" t="s">
        <v>206</v>
      </c>
      <c r="I33" s="93" t="s">
        <v>207</v>
      </c>
      <c r="J33" s="93" t="s">
        <v>208</v>
      </c>
      <c r="K33" s="93" t="s">
        <v>214</v>
      </c>
      <c r="L33" s="93" t="s">
        <v>215</v>
      </c>
      <c r="M33" s="93" t="s">
        <v>216</v>
      </c>
      <c r="P33" s="58"/>
      <c r="Q33" s="93" t="s">
        <v>200</v>
      </c>
      <c r="R33" s="93" t="s">
        <v>201</v>
      </c>
      <c r="S33" s="92" t="s">
        <v>304</v>
      </c>
      <c r="T33" s="93" t="s">
        <v>305</v>
      </c>
      <c r="U33" s="93" t="s">
        <v>204</v>
      </c>
      <c r="V33" s="93" t="s">
        <v>306</v>
      </c>
      <c r="W33" s="93" t="s">
        <v>307</v>
      </c>
      <c r="X33" s="93" t="s">
        <v>207</v>
      </c>
      <c r="Y33" s="93" t="s">
        <v>208</v>
      </c>
      <c r="Z33" s="93" t="s">
        <v>214</v>
      </c>
      <c r="AA33" s="93" t="s">
        <v>215</v>
      </c>
      <c r="AB33" s="93" t="s">
        <v>308</v>
      </c>
    </row>
    <row r="34" spans="1:28" ht="16">
      <c r="A34" s="61" t="s">
        <v>200</v>
      </c>
      <c r="B34" s="83">
        <v>59</v>
      </c>
      <c r="C34" s="62">
        <v>8</v>
      </c>
      <c r="D34" s="62">
        <v>8</v>
      </c>
      <c r="E34" s="62"/>
      <c r="F34" s="62">
        <v>3</v>
      </c>
      <c r="G34" s="62">
        <v>3</v>
      </c>
      <c r="H34" s="62"/>
      <c r="I34" s="62"/>
      <c r="J34" s="62"/>
      <c r="K34" s="62"/>
      <c r="L34" s="62"/>
      <c r="M34" s="62"/>
      <c r="N34" s="105">
        <f t="shared" ref="N34:N45" si="32">SUM(B34:M34)</f>
        <v>81</v>
      </c>
      <c r="P34" s="104" t="s">
        <v>200</v>
      </c>
      <c r="Q34" s="97">
        <f>B34/59</f>
        <v>1</v>
      </c>
      <c r="R34" s="98">
        <f>C34/1423</f>
        <v>5.6219255094869993E-3</v>
      </c>
      <c r="S34" s="98">
        <f>D34/777</f>
        <v>1.0296010296010296E-2</v>
      </c>
      <c r="T34" s="96">
        <f>E34/657</f>
        <v>0</v>
      </c>
      <c r="U34" s="98">
        <f>F34/240</f>
        <v>1.2500000000000001E-2</v>
      </c>
      <c r="V34" s="98">
        <f>G34/208</f>
        <v>1.4423076923076924E-2</v>
      </c>
      <c r="W34" s="98">
        <f>H34/33</f>
        <v>0</v>
      </c>
      <c r="X34" s="98">
        <f>I34/48</f>
        <v>0</v>
      </c>
      <c r="Y34" s="98">
        <f>J34/505</f>
        <v>0</v>
      </c>
      <c r="Z34" s="98">
        <f>K34/204</f>
        <v>0</v>
      </c>
      <c r="AA34" s="98">
        <f>L34/6</f>
        <v>0</v>
      </c>
      <c r="AB34" s="98">
        <f>M34/4</f>
        <v>0</v>
      </c>
    </row>
    <row r="35" spans="1:28" ht="16">
      <c r="A35" s="61" t="s">
        <v>201</v>
      </c>
      <c r="B35" s="62">
        <v>8</v>
      </c>
      <c r="C35" s="83">
        <v>1423</v>
      </c>
      <c r="D35" s="62">
        <v>777</v>
      </c>
      <c r="E35" s="62">
        <v>657</v>
      </c>
      <c r="F35" s="62">
        <v>27</v>
      </c>
      <c r="G35" s="62">
        <v>27</v>
      </c>
      <c r="H35" s="62"/>
      <c r="I35" s="62">
        <v>10</v>
      </c>
      <c r="J35" s="62">
        <v>80</v>
      </c>
      <c r="K35" s="62">
        <v>17</v>
      </c>
      <c r="L35" s="62">
        <v>1</v>
      </c>
      <c r="M35" s="62"/>
      <c r="N35" s="105">
        <f t="shared" si="32"/>
        <v>3027</v>
      </c>
      <c r="P35" s="104" t="s">
        <v>201</v>
      </c>
      <c r="Q35" s="99">
        <f t="shared" ref="Q35:Q45" si="33">B35/59</f>
        <v>0.13559322033898305</v>
      </c>
      <c r="R35" s="97">
        <f t="shared" ref="R35:R45" si="34">C35/1423</f>
        <v>1</v>
      </c>
      <c r="S35" s="106">
        <f t="shared" ref="S35:S45" si="35">D35/777</f>
        <v>1</v>
      </c>
      <c r="T35" s="107">
        <f t="shared" ref="T35:T45" si="36">E35/657</f>
        <v>1</v>
      </c>
      <c r="U35" s="98">
        <f t="shared" ref="U35:U45" si="37">F35/240</f>
        <v>0.1125</v>
      </c>
      <c r="V35" s="98">
        <f t="shared" ref="V35:V45" si="38">G35/208</f>
        <v>0.12980769230769232</v>
      </c>
      <c r="W35" s="98">
        <f t="shared" ref="W35:W45" si="39">H35/33</f>
        <v>0</v>
      </c>
      <c r="X35" s="98">
        <f t="shared" ref="X35:X45" si="40">I35/48</f>
        <v>0.20833333333333334</v>
      </c>
      <c r="Y35" s="98">
        <f t="shared" ref="Y35:Y45" si="41">J35/505</f>
        <v>0.15841584158415842</v>
      </c>
      <c r="Z35" s="98">
        <f t="shared" ref="Z35:Z45" si="42">K35/204</f>
        <v>8.3333333333333329E-2</v>
      </c>
      <c r="AA35" s="98">
        <f t="shared" ref="AA35:AA45" si="43">L35/6</f>
        <v>0.16666666666666666</v>
      </c>
      <c r="AB35" s="98">
        <f t="shared" ref="AB35:AB45" si="44">M35/4</f>
        <v>0</v>
      </c>
    </row>
    <row r="36" spans="1:28" ht="32">
      <c r="A36" s="63" t="s">
        <v>212</v>
      </c>
      <c r="B36" s="62">
        <v>8</v>
      </c>
      <c r="C36" s="62">
        <v>777</v>
      </c>
      <c r="D36" s="83">
        <v>777</v>
      </c>
      <c r="E36" s="62">
        <v>11</v>
      </c>
      <c r="F36" s="62">
        <v>10</v>
      </c>
      <c r="G36" s="62">
        <v>10</v>
      </c>
      <c r="H36" s="62"/>
      <c r="I36" s="62">
        <v>3</v>
      </c>
      <c r="J36" s="62">
        <v>74</v>
      </c>
      <c r="K36" s="62">
        <v>11</v>
      </c>
      <c r="L36" s="62"/>
      <c r="M36" s="62"/>
      <c r="N36" s="105">
        <f t="shared" si="32"/>
        <v>1681</v>
      </c>
      <c r="P36" s="63" t="s">
        <v>304</v>
      </c>
      <c r="Q36" s="99">
        <f t="shared" si="33"/>
        <v>0.13559322033898305</v>
      </c>
      <c r="R36" s="98">
        <f t="shared" si="34"/>
        <v>0.54602951510892483</v>
      </c>
      <c r="S36" s="97">
        <f t="shared" si="35"/>
        <v>1</v>
      </c>
      <c r="T36" s="96">
        <f t="shared" si="36"/>
        <v>1.6742770167427701E-2</v>
      </c>
      <c r="U36" s="98">
        <f t="shared" si="37"/>
        <v>4.1666666666666664E-2</v>
      </c>
      <c r="V36" s="98">
        <f t="shared" si="38"/>
        <v>4.807692307692308E-2</v>
      </c>
      <c r="W36" s="98">
        <f t="shared" si="39"/>
        <v>0</v>
      </c>
      <c r="X36" s="98">
        <f t="shared" si="40"/>
        <v>6.25E-2</v>
      </c>
      <c r="Y36" s="98">
        <f t="shared" si="41"/>
        <v>0.14653465346534653</v>
      </c>
      <c r="Z36" s="98">
        <f t="shared" si="42"/>
        <v>5.3921568627450983E-2</v>
      </c>
      <c r="AA36" s="98">
        <f t="shared" si="43"/>
        <v>0</v>
      </c>
      <c r="AB36" s="98">
        <f t="shared" si="44"/>
        <v>0</v>
      </c>
    </row>
    <row r="37" spans="1:28" ht="16">
      <c r="A37" s="61" t="s">
        <v>213</v>
      </c>
      <c r="B37" s="62"/>
      <c r="C37" s="62">
        <v>657</v>
      </c>
      <c r="D37" s="62">
        <v>11</v>
      </c>
      <c r="E37" s="83">
        <v>657</v>
      </c>
      <c r="F37" s="62">
        <v>17</v>
      </c>
      <c r="G37" s="62">
        <v>17</v>
      </c>
      <c r="H37" s="62"/>
      <c r="I37" s="62">
        <v>7</v>
      </c>
      <c r="J37" s="62">
        <v>6</v>
      </c>
      <c r="K37" s="62">
        <v>6</v>
      </c>
      <c r="L37" s="62">
        <v>1</v>
      </c>
      <c r="M37" s="62"/>
      <c r="N37" s="105">
        <f t="shared" si="32"/>
        <v>1379</v>
      </c>
      <c r="P37" s="104" t="s">
        <v>305</v>
      </c>
      <c r="Q37" s="99">
        <f t="shared" si="33"/>
        <v>0</v>
      </c>
      <c r="R37" s="98">
        <f t="shared" si="34"/>
        <v>0.4617006324666198</v>
      </c>
      <c r="S37" s="98">
        <f t="shared" si="35"/>
        <v>1.4157014157014158E-2</v>
      </c>
      <c r="T37" s="95">
        <f t="shared" si="36"/>
        <v>1</v>
      </c>
      <c r="U37" s="98">
        <f t="shared" si="37"/>
        <v>7.0833333333333331E-2</v>
      </c>
      <c r="V37" s="98">
        <f t="shared" si="38"/>
        <v>8.1730769230769232E-2</v>
      </c>
      <c r="W37" s="98">
        <f t="shared" si="39"/>
        <v>0</v>
      </c>
      <c r="X37" s="98">
        <f t="shared" si="40"/>
        <v>0.14583333333333334</v>
      </c>
      <c r="Y37" s="98">
        <f t="shared" si="41"/>
        <v>1.1881188118811881E-2</v>
      </c>
      <c r="Z37" s="98">
        <f t="shared" si="42"/>
        <v>2.9411764705882353E-2</v>
      </c>
      <c r="AA37" s="98">
        <f t="shared" si="43"/>
        <v>0.16666666666666666</v>
      </c>
      <c r="AB37" s="98">
        <f t="shared" si="44"/>
        <v>0</v>
      </c>
    </row>
    <row r="38" spans="1:28" ht="16">
      <c r="A38" s="61" t="s">
        <v>204</v>
      </c>
      <c r="B38" s="62">
        <v>3</v>
      </c>
      <c r="C38" s="62">
        <v>27</v>
      </c>
      <c r="D38" s="62">
        <v>10</v>
      </c>
      <c r="E38" s="62">
        <v>17</v>
      </c>
      <c r="F38" s="83">
        <v>240</v>
      </c>
      <c r="G38" s="62">
        <v>208</v>
      </c>
      <c r="H38" s="62">
        <v>33</v>
      </c>
      <c r="I38" s="62">
        <v>5</v>
      </c>
      <c r="J38" s="62">
        <v>6</v>
      </c>
      <c r="K38" s="62">
        <v>1</v>
      </c>
      <c r="L38" s="62"/>
      <c r="M38" s="62"/>
      <c r="N38" s="105">
        <f t="shared" si="32"/>
        <v>550</v>
      </c>
      <c r="P38" s="104" t="s">
        <v>204</v>
      </c>
      <c r="Q38" s="99">
        <f t="shared" si="33"/>
        <v>5.0847457627118647E-2</v>
      </c>
      <c r="R38" s="98">
        <f t="shared" si="34"/>
        <v>1.8973998594518624E-2</v>
      </c>
      <c r="S38" s="98">
        <f t="shared" si="35"/>
        <v>1.2870012870012869E-2</v>
      </c>
      <c r="T38" s="96">
        <f t="shared" si="36"/>
        <v>2.5875190258751901E-2</v>
      </c>
      <c r="U38" s="97">
        <f t="shared" si="37"/>
        <v>1</v>
      </c>
      <c r="V38" s="106">
        <f t="shared" si="38"/>
        <v>1</v>
      </c>
      <c r="W38" s="106">
        <f t="shared" si="39"/>
        <v>1</v>
      </c>
      <c r="X38" s="98">
        <f t="shared" si="40"/>
        <v>0.10416666666666667</v>
      </c>
      <c r="Y38" s="98">
        <f t="shared" si="41"/>
        <v>1.1881188118811881E-2</v>
      </c>
      <c r="Z38" s="98">
        <f t="shared" si="42"/>
        <v>4.9019607843137254E-3</v>
      </c>
      <c r="AA38" s="98">
        <f t="shared" si="43"/>
        <v>0</v>
      </c>
      <c r="AB38" s="98">
        <f t="shared" si="44"/>
        <v>0</v>
      </c>
    </row>
    <row r="39" spans="1:28" ht="16">
      <c r="A39" s="61" t="s">
        <v>205</v>
      </c>
      <c r="B39" s="62">
        <v>3</v>
      </c>
      <c r="C39" s="62">
        <v>27</v>
      </c>
      <c r="D39" s="62">
        <v>10</v>
      </c>
      <c r="E39" s="62">
        <v>17</v>
      </c>
      <c r="F39" s="62">
        <v>208</v>
      </c>
      <c r="G39" s="83">
        <v>208</v>
      </c>
      <c r="H39" s="62">
        <v>1</v>
      </c>
      <c r="I39" s="62">
        <v>5</v>
      </c>
      <c r="J39" s="62">
        <v>6</v>
      </c>
      <c r="K39" s="62">
        <v>1</v>
      </c>
      <c r="L39" s="62"/>
      <c r="M39" s="62"/>
      <c r="N39" s="105">
        <f t="shared" si="32"/>
        <v>486</v>
      </c>
      <c r="P39" s="104" t="s">
        <v>306</v>
      </c>
      <c r="Q39" s="99">
        <f t="shared" si="33"/>
        <v>5.0847457627118647E-2</v>
      </c>
      <c r="R39" s="98">
        <f t="shared" si="34"/>
        <v>1.8973998594518624E-2</v>
      </c>
      <c r="S39" s="98">
        <f t="shared" si="35"/>
        <v>1.2870012870012869E-2</v>
      </c>
      <c r="T39" s="96">
        <f t="shared" si="36"/>
        <v>2.5875190258751901E-2</v>
      </c>
      <c r="U39" s="98">
        <f t="shared" si="37"/>
        <v>0.8666666666666667</v>
      </c>
      <c r="V39" s="97">
        <f t="shared" si="38"/>
        <v>1</v>
      </c>
      <c r="W39" s="98">
        <f t="shared" si="39"/>
        <v>3.0303030303030304E-2</v>
      </c>
      <c r="X39" s="98">
        <f t="shared" si="40"/>
        <v>0.10416666666666667</v>
      </c>
      <c r="Y39" s="98">
        <f t="shared" si="41"/>
        <v>1.1881188118811881E-2</v>
      </c>
      <c r="Z39" s="98">
        <f t="shared" si="42"/>
        <v>4.9019607843137254E-3</v>
      </c>
      <c r="AA39" s="98">
        <f t="shared" si="43"/>
        <v>0</v>
      </c>
      <c r="AB39" s="98">
        <f t="shared" si="44"/>
        <v>0</v>
      </c>
    </row>
    <row r="40" spans="1:28" ht="16">
      <c r="A40" s="61" t="s">
        <v>206</v>
      </c>
      <c r="B40" s="62"/>
      <c r="C40" s="62"/>
      <c r="D40" s="62"/>
      <c r="E40" s="62"/>
      <c r="F40" s="62">
        <v>33</v>
      </c>
      <c r="G40" s="62">
        <v>1</v>
      </c>
      <c r="H40" s="83">
        <v>33</v>
      </c>
      <c r="I40" s="62"/>
      <c r="J40" s="62"/>
      <c r="K40" s="62"/>
      <c r="L40" s="62"/>
      <c r="M40" s="62"/>
      <c r="N40" s="105">
        <f t="shared" si="32"/>
        <v>67</v>
      </c>
      <c r="P40" s="104" t="s">
        <v>307</v>
      </c>
      <c r="Q40" s="99">
        <f t="shared" si="33"/>
        <v>0</v>
      </c>
      <c r="R40" s="98">
        <f t="shared" si="34"/>
        <v>0</v>
      </c>
      <c r="S40" s="98">
        <f t="shared" si="35"/>
        <v>0</v>
      </c>
      <c r="T40" s="96">
        <f t="shared" si="36"/>
        <v>0</v>
      </c>
      <c r="U40" s="98">
        <f t="shared" si="37"/>
        <v>0.13750000000000001</v>
      </c>
      <c r="V40" s="98">
        <f t="shared" si="38"/>
        <v>4.807692307692308E-3</v>
      </c>
      <c r="W40" s="97">
        <f t="shared" si="39"/>
        <v>1</v>
      </c>
      <c r="X40" s="98">
        <f t="shared" si="40"/>
        <v>0</v>
      </c>
      <c r="Y40" s="98">
        <f t="shared" si="41"/>
        <v>0</v>
      </c>
      <c r="Z40" s="98">
        <f t="shared" si="42"/>
        <v>0</v>
      </c>
      <c r="AA40" s="98">
        <f t="shared" si="43"/>
        <v>0</v>
      </c>
      <c r="AB40" s="98">
        <f t="shared" si="44"/>
        <v>0</v>
      </c>
    </row>
    <row r="41" spans="1:28" ht="16">
      <c r="A41" s="61" t="s">
        <v>207</v>
      </c>
      <c r="B41" s="62"/>
      <c r="C41" s="62">
        <v>10</v>
      </c>
      <c r="D41" s="62">
        <v>3</v>
      </c>
      <c r="E41" s="62">
        <v>7</v>
      </c>
      <c r="F41" s="62">
        <v>5</v>
      </c>
      <c r="G41" s="62">
        <v>5</v>
      </c>
      <c r="H41" s="62"/>
      <c r="I41" s="83">
        <v>48</v>
      </c>
      <c r="J41" s="62"/>
      <c r="K41" s="62">
        <v>3</v>
      </c>
      <c r="L41" s="62"/>
      <c r="M41" s="62"/>
      <c r="N41" s="105">
        <f t="shared" si="32"/>
        <v>81</v>
      </c>
      <c r="P41" s="104" t="s">
        <v>207</v>
      </c>
      <c r="Q41" s="99">
        <f t="shared" si="33"/>
        <v>0</v>
      </c>
      <c r="R41" s="98">
        <f t="shared" si="34"/>
        <v>7.0274068868587487E-3</v>
      </c>
      <c r="S41" s="98">
        <f t="shared" si="35"/>
        <v>3.8610038610038611E-3</v>
      </c>
      <c r="T41" s="96">
        <f t="shared" si="36"/>
        <v>1.06544901065449E-2</v>
      </c>
      <c r="U41" s="98">
        <f t="shared" si="37"/>
        <v>2.0833333333333332E-2</v>
      </c>
      <c r="V41" s="98">
        <f t="shared" si="38"/>
        <v>2.403846153846154E-2</v>
      </c>
      <c r="W41" s="98">
        <f t="shared" si="39"/>
        <v>0</v>
      </c>
      <c r="X41" s="97">
        <f t="shared" si="40"/>
        <v>1</v>
      </c>
      <c r="Y41" s="98">
        <f t="shared" si="41"/>
        <v>0</v>
      </c>
      <c r="Z41" s="98">
        <f t="shared" si="42"/>
        <v>1.4705882352941176E-2</v>
      </c>
      <c r="AA41" s="98">
        <f t="shared" si="43"/>
        <v>0</v>
      </c>
      <c r="AB41" s="98">
        <f t="shared" si="44"/>
        <v>0</v>
      </c>
    </row>
    <row r="42" spans="1:28" ht="16">
      <c r="A42" s="61" t="s">
        <v>208</v>
      </c>
      <c r="B42" s="62"/>
      <c r="C42" s="62">
        <v>80</v>
      </c>
      <c r="D42" s="62">
        <v>74</v>
      </c>
      <c r="E42" s="62">
        <v>6</v>
      </c>
      <c r="F42" s="62">
        <v>6</v>
      </c>
      <c r="G42" s="62">
        <v>6</v>
      </c>
      <c r="H42" s="62"/>
      <c r="I42" s="62"/>
      <c r="J42" s="83">
        <v>505</v>
      </c>
      <c r="K42" s="62">
        <v>11</v>
      </c>
      <c r="L42" s="62"/>
      <c r="M42" s="62"/>
      <c r="N42" s="105">
        <f t="shared" si="32"/>
        <v>688</v>
      </c>
      <c r="P42" s="104" t="s">
        <v>208</v>
      </c>
      <c r="Q42" s="99">
        <f t="shared" si="33"/>
        <v>0</v>
      </c>
      <c r="R42" s="98">
        <f t="shared" si="34"/>
        <v>5.621925509486999E-2</v>
      </c>
      <c r="S42" s="98">
        <f t="shared" si="35"/>
        <v>9.5238095238095233E-2</v>
      </c>
      <c r="T42" s="96">
        <f t="shared" si="36"/>
        <v>9.1324200913242004E-3</v>
      </c>
      <c r="U42" s="98">
        <f t="shared" si="37"/>
        <v>2.5000000000000001E-2</v>
      </c>
      <c r="V42" s="98">
        <f t="shared" si="38"/>
        <v>2.8846153846153848E-2</v>
      </c>
      <c r="W42" s="98">
        <f t="shared" si="39"/>
        <v>0</v>
      </c>
      <c r="X42" s="98">
        <f t="shared" si="40"/>
        <v>0</v>
      </c>
      <c r="Y42" s="97">
        <f t="shared" si="41"/>
        <v>1</v>
      </c>
      <c r="Z42" s="98">
        <f t="shared" si="42"/>
        <v>5.3921568627450983E-2</v>
      </c>
      <c r="AA42" s="98">
        <f t="shared" si="43"/>
        <v>0</v>
      </c>
      <c r="AB42" s="98">
        <f t="shared" si="44"/>
        <v>0</v>
      </c>
    </row>
    <row r="43" spans="1:28" ht="16">
      <c r="A43" s="61" t="s">
        <v>214</v>
      </c>
      <c r="B43" s="62"/>
      <c r="C43" s="62">
        <v>17</v>
      </c>
      <c r="D43" s="62">
        <v>11</v>
      </c>
      <c r="E43" s="62">
        <v>6</v>
      </c>
      <c r="F43" s="62">
        <v>1</v>
      </c>
      <c r="G43" s="62">
        <v>1</v>
      </c>
      <c r="H43" s="62"/>
      <c r="I43" s="62">
        <v>3</v>
      </c>
      <c r="J43" s="62">
        <v>11</v>
      </c>
      <c r="K43" s="83">
        <v>204</v>
      </c>
      <c r="L43" s="62"/>
      <c r="M43" s="62"/>
      <c r="N43" s="105">
        <f t="shared" si="32"/>
        <v>254</v>
      </c>
      <c r="P43" s="104" t="s">
        <v>214</v>
      </c>
      <c r="Q43" s="99">
        <f t="shared" si="33"/>
        <v>0</v>
      </c>
      <c r="R43" s="98">
        <f t="shared" si="34"/>
        <v>1.1946591707659873E-2</v>
      </c>
      <c r="S43" s="98">
        <f t="shared" si="35"/>
        <v>1.4157014157014158E-2</v>
      </c>
      <c r="T43" s="96">
        <f t="shared" si="36"/>
        <v>9.1324200913242004E-3</v>
      </c>
      <c r="U43" s="98">
        <f t="shared" si="37"/>
        <v>4.1666666666666666E-3</v>
      </c>
      <c r="V43" s="98">
        <f t="shared" si="38"/>
        <v>4.807692307692308E-3</v>
      </c>
      <c r="W43" s="98">
        <f t="shared" si="39"/>
        <v>0</v>
      </c>
      <c r="X43" s="98">
        <f t="shared" si="40"/>
        <v>6.25E-2</v>
      </c>
      <c r="Y43" s="98">
        <f t="shared" si="41"/>
        <v>2.1782178217821781E-2</v>
      </c>
      <c r="Z43" s="97">
        <f t="shared" si="42"/>
        <v>1</v>
      </c>
      <c r="AA43" s="98">
        <f t="shared" si="43"/>
        <v>0</v>
      </c>
      <c r="AB43" s="98">
        <f t="shared" si="44"/>
        <v>0</v>
      </c>
    </row>
    <row r="44" spans="1:28" ht="16">
      <c r="A44" s="61" t="s">
        <v>215</v>
      </c>
      <c r="B44" s="62"/>
      <c r="C44" s="62">
        <v>1</v>
      </c>
      <c r="D44" s="62"/>
      <c r="E44" s="62">
        <v>1</v>
      </c>
      <c r="F44" s="62"/>
      <c r="G44" s="62"/>
      <c r="H44" s="62"/>
      <c r="I44" s="62"/>
      <c r="J44" s="62"/>
      <c r="K44" s="62"/>
      <c r="L44" s="83">
        <v>6</v>
      </c>
      <c r="M44" s="62"/>
      <c r="N44" s="105">
        <f t="shared" si="32"/>
        <v>8</v>
      </c>
      <c r="P44" s="104" t="s">
        <v>215</v>
      </c>
      <c r="Q44" s="99">
        <f t="shared" si="33"/>
        <v>0</v>
      </c>
      <c r="R44" s="98">
        <f t="shared" si="34"/>
        <v>7.0274068868587491E-4</v>
      </c>
      <c r="S44" s="98">
        <f t="shared" si="35"/>
        <v>0</v>
      </c>
      <c r="T44" s="96">
        <f t="shared" si="36"/>
        <v>1.5220700152207001E-3</v>
      </c>
      <c r="U44" s="98">
        <f t="shared" si="37"/>
        <v>0</v>
      </c>
      <c r="V44" s="98">
        <f t="shared" si="38"/>
        <v>0</v>
      </c>
      <c r="W44" s="98">
        <f t="shared" si="39"/>
        <v>0</v>
      </c>
      <c r="X44" s="98">
        <f t="shared" si="40"/>
        <v>0</v>
      </c>
      <c r="Y44" s="98">
        <f t="shared" si="41"/>
        <v>0</v>
      </c>
      <c r="Z44" s="98">
        <f t="shared" si="42"/>
        <v>0</v>
      </c>
      <c r="AA44" s="97">
        <f t="shared" si="43"/>
        <v>1</v>
      </c>
      <c r="AB44" s="98">
        <f t="shared" si="44"/>
        <v>0</v>
      </c>
    </row>
    <row r="45" spans="1:28" ht="33" thickBot="1">
      <c r="A45" s="61" t="s">
        <v>216</v>
      </c>
      <c r="B45" s="62"/>
      <c r="C45" s="62"/>
      <c r="D45" s="62"/>
      <c r="E45" s="62"/>
      <c r="F45" s="62"/>
      <c r="G45" s="62"/>
      <c r="H45" s="62"/>
      <c r="I45" s="62"/>
      <c r="J45" s="62"/>
      <c r="K45" s="62"/>
      <c r="L45" s="62"/>
      <c r="M45" s="83">
        <v>4</v>
      </c>
      <c r="N45" s="105">
        <f t="shared" si="32"/>
        <v>4</v>
      </c>
      <c r="P45" s="104" t="s">
        <v>308</v>
      </c>
      <c r="Q45" s="100">
        <f t="shared" si="33"/>
        <v>0</v>
      </c>
      <c r="R45" s="101">
        <f t="shared" si="34"/>
        <v>0</v>
      </c>
      <c r="S45" s="101">
        <f t="shared" si="35"/>
        <v>0</v>
      </c>
      <c r="T45" s="103">
        <f t="shared" si="36"/>
        <v>0</v>
      </c>
      <c r="U45" s="101">
        <f t="shared" si="37"/>
        <v>0</v>
      </c>
      <c r="V45" s="101">
        <f t="shared" si="38"/>
        <v>0</v>
      </c>
      <c r="W45" s="101">
        <f t="shared" si="39"/>
        <v>0</v>
      </c>
      <c r="X45" s="101">
        <f t="shared" si="40"/>
        <v>0</v>
      </c>
      <c r="Y45" s="101">
        <f t="shared" si="41"/>
        <v>0</v>
      </c>
      <c r="Z45" s="101">
        <f t="shared" si="42"/>
        <v>0</v>
      </c>
      <c r="AA45" s="101">
        <f t="shared" si="43"/>
        <v>0</v>
      </c>
      <c r="AB45" s="102">
        <f t="shared" si="44"/>
        <v>1</v>
      </c>
    </row>
    <row r="46" spans="1:28" ht="15">
      <c r="A46" s="88"/>
      <c r="B46" s="90">
        <f>SUM(B34:B45)</f>
        <v>81</v>
      </c>
      <c r="C46" s="90">
        <f t="shared" ref="C46:M46" si="45">SUM(C34:C45)</f>
        <v>3027</v>
      </c>
      <c r="D46" s="90">
        <f t="shared" si="45"/>
        <v>1681</v>
      </c>
      <c r="E46" s="90">
        <f t="shared" si="45"/>
        <v>1379</v>
      </c>
      <c r="F46" s="90">
        <f t="shared" si="45"/>
        <v>550</v>
      </c>
      <c r="G46" s="90">
        <f t="shared" si="45"/>
        <v>486</v>
      </c>
      <c r="H46" s="90">
        <f t="shared" si="45"/>
        <v>67</v>
      </c>
      <c r="I46" s="90">
        <f t="shared" si="45"/>
        <v>81</v>
      </c>
      <c r="J46" s="90">
        <f t="shared" si="45"/>
        <v>688</v>
      </c>
      <c r="K46" s="90">
        <f t="shared" si="45"/>
        <v>254</v>
      </c>
      <c r="L46" s="90">
        <f t="shared" si="45"/>
        <v>8</v>
      </c>
      <c r="M46" s="90">
        <f t="shared" si="45"/>
        <v>4</v>
      </c>
      <c r="P46" s="88" t="s">
        <v>303</v>
      </c>
      <c r="Q46" s="89">
        <v>81</v>
      </c>
      <c r="R46" s="89">
        <v>3027</v>
      </c>
      <c r="S46" s="89">
        <v>1681</v>
      </c>
      <c r="T46" s="89">
        <v>1379</v>
      </c>
      <c r="U46" s="89">
        <v>550</v>
      </c>
      <c r="V46" s="89">
        <v>486</v>
      </c>
      <c r="W46" s="89">
        <v>67</v>
      </c>
      <c r="X46" s="89">
        <v>81</v>
      </c>
      <c r="Y46" s="89">
        <v>688</v>
      </c>
      <c r="Z46" s="89">
        <v>254</v>
      </c>
      <c r="AA46" s="89">
        <v>8</v>
      </c>
      <c r="AB46" s="89">
        <v>4</v>
      </c>
    </row>
    <row r="47" spans="1:28" ht="15">
      <c r="B47" s="84" t="str">
        <f>Table_4.0_Information!$A$7</f>
        <v>4 add state in table 0</v>
      </c>
      <c r="C47" s="84"/>
      <c r="D47" s="84"/>
      <c r="E47" s="84"/>
      <c r="F47" s="84"/>
      <c r="G47" s="84"/>
      <c r="H47" s="84"/>
      <c r="I47" s="84"/>
      <c r="J47" s="84"/>
      <c r="K47" s="84"/>
      <c r="L47" s="84"/>
      <c r="M47" s="84"/>
    </row>
    <row r="48" spans="1:28" ht="15">
      <c r="A48" s="58" t="s">
        <v>199</v>
      </c>
      <c r="B48" s="59" t="s">
        <v>200</v>
      </c>
      <c r="C48" s="59" t="s">
        <v>201</v>
      </c>
      <c r="D48" s="60" t="s">
        <v>298</v>
      </c>
      <c r="E48" s="60" t="s">
        <v>299</v>
      </c>
      <c r="F48" s="59" t="s">
        <v>204</v>
      </c>
      <c r="G48" s="59" t="s">
        <v>205</v>
      </c>
      <c r="H48" s="59" t="s">
        <v>206</v>
      </c>
      <c r="I48" s="59" t="s">
        <v>207</v>
      </c>
      <c r="J48" s="59" t="s">
        <v>208</v>
      </c>
      <c r="K48" s="60" t="s">
        <v>300</v>
      </c>
      <c r="L48" s="60" t="s">
        <v>301</v>
      </c>
      <c r="M48" s="60" t="s">
        <v>302</v>
      </c>
    </row>
    <row r="49" spans="1:13" ht="15">
      <c r="A49" s="61" t="s">
        <v>200</v>
      </c>
      <c r="B49" s="83"/>
      <c r="C49" s="62"/>
      <c r="D49" s="62"/>
      <c r="E49" s="62"/>
      <c r="F49" s="62"/>
      <c r="G49" s="62"/>
      <c r="H49" s="62"/>
      <c r="I49" s="62"/>
      <c r="J49" s="62"/>
      <c r="K49" s="62"/>
      <c r="L49" s="62"/>
      <c r="M49" s="62"/>
    </row>
    <row r="50" spans="1:13" ht="15">
      <c r="A50" s="61" t="s">
        <v>201</v>
      </c>
      <c r="B50" s="62"/>
      <c r="C50" s="83"/>
      <c r="D50" s="62"/>
      <c r="E50" s="62"/>
      <c r="F50" s="62"/>
      <c r="G50" s="62"/>
      <c r="H50" s="62"/>
      <c r="I50" s="62"/>
      <c r="J50" s="62"/>
      <c r="K50" s="62"/>
      <c r="L50" s="62"/>
      <c r="M50" s="62"/>
    </row>
    <row r="51" spans="1:13" ht="32">
      <c r="A51" s="63" t="s">
        <v>212</v>
      </c>
      <c r="B51" s="62"/>
      <c r="C51" s="62"/>
      <c r="D51" s="83"/>
      <c r="E51" s="62"/>
      <c r="F51" s="62"/>
      <c r="G51" s="62"/>
      <c r="H51" s="62"/>
      <c r="I51" s="62"/>
      <c r="J51" s="62"/>
      <c r="K51" s="62"/>
      <c r="L51" s="62"/>
      <c r="M51" s="62"/>
    </row>
    <row r="52" spans="1:13" ht="15">
      <c r="A52" s="61" t="s">
        <v>213</v>
      </c>
      <c r="B52" s="62"/>
      <c r="C52" s="62"/>
      <c r="D52" s="62"/>
      <c r="E52" s="83"/>
      <c r="F52" s="62"/>
      <c r="G52" s="62"/>
      <c r="H52" s="62"/>
      <c r="I52" s="62"/>
      <c r="J52" s="62"/>
      <c r="K52" s="62"/>
      <c r="L52" s="62"/>
      <c r="M52" s="62"/>
    </row>
    <row r="53" spans="1:13" ht="15">
      <c r="A53" s="61" t="s">
        <v>204</v>
      </c>
      <c r="B53" s="62"/>
      <c r="C53" s="62"/>
      <c r="D53" s="62"/>
      <c r="E53" s="62"/>
      <c r="F53" s="83"/>
      <c r="G53" s="62"/>
      <c r="H53" s="62"/>
      <c r="I53" s="62"/>
      <c r="J53" s="62"/>
      <c r="K53" s="62"/>
      <c r="L53" s="62"/>
      <c r="M53" s="62"/>
    </row>
    <row r="54" spans="1:13" ht="15">
      <c r="A54" s="61" t="s">
        <v>205</v>
      </c>
      <c r="B54" s="62"/>
      <c r="C54" s="62"/>
      <c r="D54" s="62"/>
      <c r="E54" s="62"/>
      <c r="F54" s="62"/>
      <c r="G54" s="83"/>
      <c r="H54" s="62"/>
      <c r="I54" s="62"/>
      <c r="J54" s="62"/>
      <c r="K54" s="62"/>
      <c r="L54" s="62"/>
      <c r="M54" s="62"/>
    </row>
    <row r="55" spans="1:13" ht="15">
      <c r="A55" s="61" t="s">
        <v>206</v>
      </c>
      <c r="B55" s="62"/>
      <c r="C55" s="62"/>
      <c r="D55" s="62"/>
      <c r="E55" s="62"/>
      <c r="F55" s="62"/>
      <c r="G55" s="62"/>
      <c r="H55" s="83"/>
      <c r="I55" s="62"/>
      <c r="J55" s="62"/>
      <c r="K55" s="62"/>
      <c r="L55" s="62"/>
      <c r="M55" s="62"/>
    </row>
    <row r="56" spans="1:13" ht="15">
      <c r="A56" s="61" t="s">
        <v>207</v>
      </c>
      <c r="B56" s="62"/>
      <c r="C56" s="62"/>
      <c r="D56" s="62"/>
      <c r="E56" s="62"/>
      <c r="F56" s="62"/>
      <c r="G56" s="62"/>
      <c r="H56" s="62"/>
      <c r="I56" s="83"/>
      <c r="J56" s="62"/>
      <c r="K56" s="62"/>
      <c r="L56" s="62"/>
      <c r="M56" s="62"/>
    </row>
    <row r="57" spans="1:13" ht="15">
      <c r="A57" s="61" t="s">
        <v>208</v>
      </c>
      <c r="B57" s="62"/>
      <c r="C57" s="62"/>
      <c r="D57" s="62"/>
      <c r="E57" s="62"/>
      <c r="F57" s="62"/>
      <c r="G57" s="62"/>
      <c r="H57" s="62"/>
      <c r="I57" s="62"/>
      <c r="J57" s="83"/>
      <c r="K57" s="62"/>
      <c r="L57" s="62"/>
      <c r="M57" s="62"/>
    </row>
    <row r="58" spans="1:13" ht="15">
      <c r="A58" s="61" t="s">
        <v>214</v>
      </c>
      <c r="B58" s="62"/>
      <c r="C58" s="62"/>
      <c r="D58" s="62"/>
      <c r="E58" s="62"/>
      <c r="F58" s="62"/>
      <c r="G58" s="62"/>
      <c r="H58" s="62"/>
      <c r="I58" s="62"/>
      <c r="J58" s="62"/>
      <c r="K58" s="83"/>
      <c r="L58" s="62"/>
      <c r="M58" s="62"/>
    </row>
    <row r="59" spans="1:13" ht="15">
      <c r="A59" s="61" t="s">
        <v>215</v>
      </c>
      <c r="B59" s="62"/>
      <c r="C59" s="62"/>
      <c r="D59" s="62"/>
      <c r="E59" s="62"/>
      <c r="F59" s="62"/>
      <c r="G59" s="62"/>
      <c r="H59" s="62"/>
      <c r="I59" s="62"/>
      <c r="J59" s="62"/>
      <c r="K59" s="62"/>
      <c r="L59" s="83"/>
      <c r="M59" s="62"/>
    </row>
    <row r="60" spans="1:13" ht="15">
      <c r="A60" s="61" t="s">
        <v>216</v>
      </c>
      <c r="B60" s="62"/>
      <c r="C60" s="62"/>
      <c r="D60" s="62"/>
      <c r="E60" s="62"/>
      <c r="F60" s="62"/>
      <c r="G60" s="62"/>
      <c r="H60" s="62"/>
      <c r="I60" s="62"/>
      <c r="J60" s="62"/>
      <c r="K60" s="62"/>
      <c r="L60" s="62"/>
      <c r="M60" s="83"/>
    </row>
    <row r="61" spans="1:13" ht="12" customHeight="1">
      <c r="B61" s="84" t="str">
        <f>Table_4.0_Information!$A$8</f>
        <v>5 add state in table 0</v>
      </c>
      <c r="C61" s="84"/>
      <c r="D61" s="84"/>
      <c r="E61" s="84"/>
      <c r="F61" s="84"/>
      <c r="G61" s="84"/>
      <c r="H61" s="84"/>
      <c r="I61" s="84"/>
      <c r="J61" s="84"/>
      <c r="K61" s="84"/>
      <c r="L61" s="84"/>
      <c r="M61" s="84"/>
    </row>
    <row r="62" spans="1:13" ht="12" customHeight="1">
      <c r="A62" s="58" t="s">
        <v>199</v>
      </c>
      <c r="B62" s="59" t="s">
        <v>200</v>
      </c>
      <c r="C62" s="59" t="s">
        <v>201</v>
      </c>
      <c r="D62" s="60" t="s">
        <v>298</v>
      </c>
      <c r="E62" s="60" t="s">
        <v>299</v>
      </c>
      <c r="F62" s="59" t="s">
        <v>204</v>
      </c>
      <c r="G62" s="59" t="s">
        <v>205</v>
      </c>
      <c r="H62" s="59" t="s">
        <v>206</v>
      </c>
      <c r="I62" s="59" t="s">
        <v>207</v>
      </c>
      <c r="J62" s="59" t="s">
        <v>208</v>
      </c>
      <c r="K62" s="60" t="s">
        <v>300</v>
      </c>
      <c r="L62" s="60" t="s">
        <v>301</v>
      </c>
      <c r="M62" s="60" t="s">
        <v>302</v>
      </c>
    </row>
    <row r="63" spans="1:13" ht="12" customHeight="1">
      <c r="A63" s="61" t="s">
        <v>200</v>
      </c>
      <c r="B63" s="62"/>
      <c r="C63" s="62"/>
      <c r="D63" s="62"/>
      <c r="E63" s="62"/>
      <c r="F63" s="62"/>
      <c r="G63" s="62"/>
      <c r="H63" s="62"/>
      <c r="I63" s="62"/>
      <c r="J63" s="62"/>
      <c r="K63" s="62"/>
      <c r="L63" s="62"/>
      <c r="M63" s="62"/>
    </row>
    <row r="64" spans="1:13" ht="12" customHeight="1">
      <c r="A64" s="61" t="s">
        <v>201</v>
      </c>
      <c r="B64" s="62"/>
      <c r="C64" s="62"/>
      <c r="D64" s="62"/>
      <c r="E64" s="62"/>
      <c r="F64" s="62"/>
      <c r="G64" s="62"/>
      <c r="H64" s="62"/>
      <c r="I64" s="62"/>
      <c r="J64" s="62"/>
      <c r="K64" s="62"/>
      <c r="L64" s="62"/>
      <c r="M64" s="62"/>
    </row>
    <row r="65" spans="1:13" ht="12" customHeight="1">
      <c r="A65" s="63" t="s">
        <v>212</v>
      </c>
      <c r="B65" s="62"/>
      <c r="C65" s="62"/>
      <c r="D65" s="62"/>
      <c r="E65" s="62"/>
      <c r="F65" s="62"/>
      <c r="G65" s="62"/>
      <c r="H65" s="62"/>
      <c r="I65" s="62"/>
      <c r="J65" s="62"/>
      <c r="K65" s="62"/>
      <c r="L65" s="62"/>
      <c r="M65" s="62"/>
    </row>
    <row r="66" spans="1:13" ht="12" customHeight="1">
      <c r="A66" s="61" t="s">
        <v>213</v>
      </c>
      <c r="B66" s="62"/>
      <c r="C66" s="62"/>
      <c r="D66" s="62"/>
      <c r="E66" s="62"/>
      <c r="F66" s="62"/>
      <c r="G66" s="62"/>
      <c r="H66" s="62"/>
      <c r="I66" s="62"/>
      <c r="J66" s="62"/>
      <c r="K66" s="62"/>
      <c r="L66" s="62"/>
      <c r="M66" s="62"/>
    </row>
    <row r="67" spans="1:13" ht="12" customHeight="1">
      <c r="A67" s="61" t="s">
        <v>204</v>
      </c>
      <c r="B67" s="62"/>
      <c r="C67" s="62"/>
      <c r="D67" s="62"/>
      <c r="E67" s="62"/>
      <c r="F67" s="62"/>
      <c r="G67" s="62"/>
      <c r="H67" s="62"/>
      <c r="I67" s="62"/>
      <c r="J67" s="62"/>
      <c r="K67" s="62"/>
      <c r="L67" s="62"/>
      <c r="M67" s="62"/>
    </row>
    <row r="68" spans="1:13" ht="12" customHeight="1">
      <c r="A68" s="61" t="s">
        <v>205</v>
      </c>
      <c r="B68" s="62"/>
      <c r="C68" s="62"/>
      <c r="D68" s="62"/>
      <c r="E68" s="62"/>
      <c r="F68" s="62"/>
      <c r="G68" s="62"/>
      <c r="H68" s="62"/>
      <c r="I68" s="62"/>
      <c r="J68" s="62"/>
      <c r="K68" s="62"/>
      <c r="L68" s="62"/>
      <c r="M68" s="62"/>
    </row>
    <row r="69" spans="1:13" ht="12" customHeight="1">
      <c r="A69" s="61" t="s">
        <v>206</v>
      </c>
      <c r="B69" s="62"/>
      <c r="C69" s="62"/>
      <c r="D69" s="62"/>
      <c r="E69" s="62"/>
      <c r="F69" s="62"/>
      <c r="G69" s="62"/>
      <c r="H69" s="62"/>
      <c r="I69" s="62"/>
      <c r="J69" s="62"/>
      <c r="K69" s="62"/>
      <c r="L69" s="62"/>
      <c r="M69" s="62"/>
    </row>
    <row r="70" spans="1:13" ht="12" customHeight="1">
      <c r="A70" s="61" t="s">
        <v>207</v>
      </c>
      <c r="B70" s="62"/>
      <c r="C70" s="62"/>
      <c r="D70" s="62"/>
      <c r="E70" s="62"/>
      <c r="F70" s="62"/>
      <c r="G70" s="62"/>
      <c r="H70" s="62"/>
      <c r="I70" s="62"/>
      <c r="J70" s="62"/>
      <c r="K70" s="62"/>
      <c r="L70" s="62"/>
      <c r="M70" s="62"/>
    </row>
    <row r="71" spans="1:13" ht="12" customHeight="1">
      <c r="A71" s="61" t="s">
        <v>208</v>
      </c>
      <c r="B71" s="62"/>
      <c r="C71" s="62"/>
      <c r="D71" s="62"/>
      <c r="E71" s="62"/>
      <c r="F71" s="62"/>
      <c r="G71" s="62"/>
      <c r="H71" s="62"/>
      <c r="I71" s="62"/>
      <c r="J71" s="62"/>
      <c r="K71" s="62"/>
      <c r="L71" s="62"/>
      <c r="M71" s="62"/>
    </row>
    <row r="72" spans="1:13" ht="12" customHeight="1">
      <c r="A72" s="61" t="s">
        <v>214</v>
      </c>
      <c r="B72" s="62"/>
      <c r="C72" s="62"/>
      <c r="D72" s="62"/>
      <c r="E72" s="62"/>
      <c r="F72" s="62"/>
      <c r="G72" s="62"/>
      <c r="H72" s="62"/>
      <c r="I72" s="62"/>
      <c r="J72" s="62"/>
      <c r="K72" s="62"/>
      <c r="L72" s="62"/>
      <c r="M72" s="62"/>
    </row>
    <row r="73" spans="1:13" ht="12" customHeight="1">
      <c r="A73" s="61" t="s">
        <v>215</v>
      </c>
      <c r="B73" s="62"/>
      <c r="C73" s="62"/>
      <c r="D73" s="62"/>
      <c r="E73" s="62"/>
      <c r="F73" s="62"/>
      <c r="G73" s="62"/>
      <c r="H73" s="62"/>
      <c r="I73" s="62"/>
      <c r="J73" s="62"/>
      <c r="K73" s="62"/>
      <c r="L73" s="62"/>
      <c r="M73" s="62"/>
    </row>
    <row r="74" spans="1:13" ht="12" customHeight="1">
      <c r="A74" s="61" t="s">
        <v>216</v>
      </c>
      <c r="B74" s="62"/>
      <c r="C74" s="62"/>
      <c r="D74" s="62"/>
      <c r="E74" s="62"/>
      <c r="F74" s="62"/>
      <c r="G74" s="62"/>
      <c r="H74" s="62"/>
      <c r="I74" s="62"/>
      <c r="J74" s="62"/>
      <c r="K74" s="62"/>
      <c r="L74" s="62"/>
      <c r="M74" s="62"/>
    </row>
    <row r="75" spans="1:13" ht="12" customHeight="1">
      <c r="B75" s="84" t="str">
        <f>Table_4.0_Information!$A$9</f>
        <v>6 add state in table 0</v>
      </c>
      <c r="C75" s="84"/>
      <c r="D75" s="84"/>
      <c r="E75" s="84"/>
      <c r="F75" s="84"/>
      <c r="G75" s="84"/>
      <c r="H75" s="84"/>
      <c r="I75" s="84"/>
      <c r="J75" s="84"/>
      <c r="K75" s="84"/>
      <c r="L75" s="84"/>
      <c r="M75" s="84"/>
    </row>
    <row r="76" spans="1:13" ht="12" customHeight="1">
      <c r="A76" s="58" t="s">
        <v>199</v>
      </c>
      <c r="B76" s="59" t="s">
        <v>200</v>
      </c>
      <c r="C76" s="59" t="s">
        <v>201</v>
      </c>
      <c r="D76" s="60" t="s">
        <v>298</v>
      </c>
      <c r="E76" s="60" t="s">
        <v>299</v>
      </c>
      <c r="F76" s="59" t="s">
        <v>204</v>
      </c>
      <c r="G76" s="59" t="s">
        <v>205</v>
      </c>
      <c r="H76" s="59" t="s">
        <v>206</v>
      </c>
      <c r="I76" s="59" t="s">
        <v>207</v>
      </c>
      <c r="J76" s="59" t="s">
        <v>208</v>
      </c>
      <c r="K76" s="60" t="s">
        <v>300</v>
      </c>
      <c r="L76" s="60" t="s">
        <v>301</v>
      </c>
      <c r="M76" s="60" t="s">
        <v>302</v>
      </c>
    </row>
    <row r="77" spans="1:13" ht="12" customHeight="1">
      <c r="A77" s="61" t="s">
        <v>200</v>
      </c>
      <c r="B77" s="62"/>
      <c r="C77" s="62"/>
      <c r="D77" s="62"/>
      <c r="E77" s="62"/>
      <c r="F77" s="62"/>
      <c r="G77" s="62"/>
      <c r="H77" s="62"/>
      <c r="I77" s="62"/>
      <c r="J77" s="62"/>
      <c r="K77" s="62"/>
      <c r="L77" s="62"/>
      <c r="M77" s="62"/>
    </row>
    <row r="78" spans="1:13" ht="12" customHeight="1">
      <c r="A78" s="61" t="s">
        <v>201</v>
      </c>
      <c r="B78" s="62"/>
      <c r="C78" s="62"/>
      <c r="D78" s="62"/>
      <c r="E78" s="62"/>
      <c r="F78" s="62"/>
      <c r="G78" s="62"/>
      <c r="H78" s="62"/>
      <c r="I78" s="62"/>
      <c r="J78" s="62"/>
      <c r="K78" s="62"/>
      <c r="L78" s="62"/>
      <c r="M78" s="62"/>
    </row>
    <row r="79" spans="1:13" ht="12" customHeight="1">
      <c r="A79" s="63" t="s">
        <v>212</v>
      </c>
      <c r="B79" s="62"/>
      <c r="C79" s="62"/>
      <c r="D79" s="62"/>
      <c r="E79" s="62"/>
      <c r="F79" s="62"/>
      <c r="G79" s="62"/>
      <c r="H79" s="62"/>
      <c r="I79" s="62"/>
      <c r="J79" s="62"/>
      <c r="K79" s="62"/>
      <c r="L79" s="62"/>
      <c r="M79" s="62"/>
    </row>
    <row r="80" spans="1:13" ht="12" customHeight="1">
      <c r="A80" s="61" t="s">
        <v>213</v>
      </c>
      <c r="B80" s="62"/>
      <c r="C80" s="62"/>
      <c r="D80" s="62"/>
      <c r="E80" s="62"/>
      <c r="F80" s="62"/>
      <c r="G80" s="62"/>
      <c r="H80" s="62"/>
      <c r="I80" s="62"/>
      <c r="J80" s="62"/>
      <c r="K80" s="62"/>
      <c r="L80" s="62"/>
      <c r="M80" s="62"/>
    </row>
    <row r="81" spans="1:13" ht="12" customHeight="1">
      <c r="A81" s="61" t="s">
        <v>204</v>
      </c>
      <c r="B81" s="62"/>
      <c r="C81" s="62"/>
      <c r="D81" s="62"/>
      <c r="E81" s="62"/>
      <c r="F81" s="62"/>
      <c r="G81" s="62"/>
      <c r="H81" s="62"/>
      <c r="I81" s="62"/>
      <c r="J81" s="62"/>
      <c r="K81" s="62"/>
      <c r="L81" s="62"/>
      <c r="M81" s="62"/>
    </row>
    <row r="82" spans="1:13" ht="12" customHeight="1">
      <c r="A82" s="61" t="s">
        <v>205</v>
      </c>
      <c r="B82" s="62"/>
      <c r="C82" s="62"/>
      <c r="D82" s="62"/>
      <c r="E82" s="62"/>
      <c r="F82" s="62"/>
      <c r="G82" s="62"/>
      <c r="H82" s="62"/>
      <c r="I82" s="62"/>
      <c r="J82" s="62"/>
      <c r="K82" s="62"/>
      <c r="L82" s="62"/>
      <c r="M82" s="62"/>
    </row>
    <row r="83" spans="1:13" ht="12" customHeight="1">
      <c r="A83" s="61" t="s">
        <v>206</v>
      </c>
      <c r="B83" s="62"/>
      <c r="C83" s="62"/>
      <c r="D83" s="62"/>
      <c r="E83" s="62"/>
      <c r="F83" s="62"/>
      <c r="G83" s="62"/>
      <c r="H83" s="62"/>
      <c r="I83" s="62"/>
      <c r="J83" s="62"/>
      <c r="K83" s="62"/>
      <c r="L83" s="62"/>
      <c r="M83" s="62"/>
    </row>
    <row r="84" spans="1:13" ht="12" customHeight="1">
      <c r="A84" s="61" t="s">
        <v>207</v>
      </c>
      <c r="B84" s="62"/>
      <c r="C84" s="62"/>
      <c r="D84" s="62"/>
      <c r="E84" s="62"/>
      <c r="F84" s="62"/>
      <c r="G84" s="62"/>
      <c r="H84" s="62"/>
      <c r="I84" s="62"/>
      <c r="J84" s="62"/>
      <c r="K84" s="62"/>
      <c r="L84" s="62"/>
      <c r="M84" s="62"/>
    </row>
    <row r="85" spans="1:13" ht="12" customHeight="1">
      <c r="A85" s="61" t="s">
        <v>208</v>
      </c>
      <c r="B85" s="62"/>
      <c r="C85" s="62"/>
      <c r="D85" s="62"/>
      <c r="E85" s="62"/>
      <c r="F85" s="62"/>
      <c r="G85" s="62"/>
      <c r="H85" s="62"/>
      <c r="I85" s="62"/>
      <c r="J85" s="62"/>
      <c r="K85" s="62"/>
      <c r="L85" s="62"/>
      <c r="M85" s="62"/>
    </row>
    <row r="86" spans="1:13" ht="12" customHeight="1">
      <c r="A86" s="61" t="s">
        <v>214</v>
      </c>
      <c r="B86" s="62"/>
      <c r="C86" s="62"/>
      <c r="D86" s="62"/>
      <c r="E86" s="62"/>
      <c r="F86" s="62"/>
      <c r="G86" s="62"/>
      <c r="H86" s="62"/>
      <c r="I86" s="62"/>
      <c r="J86" s="62"/>
      <c r="K86" s="62"/>
      <c r="L86" s="62"/>
      <c r="M86" s="62"/>
    </row>
    <row r="87" spans="1:13" ht="12" customHeight="1">
      <c r="A87" s="61" t="s">
        <v>215</v>
      </c>
      <c r="B87" s="62"/>
      <c r="C87" s="62"/>
      <c r="D87" s="62"/>
      <c r="E87" s="62"/>
      <c r="F87" s="62"/>
      <c r="G87" s="62"/>
      <c r="H87" s="62"/>
      <c r="I87" s="62"/>
      <c r="J87" s="62"/>
      <c r="K87" s="62"/>
      <c r="L87" s="62"/>
      <c r="M87" s="62"/>
    </row>
    <row r="88" spans="1:13" ht="12" customHeight="1">
      <c r="A88" s="61" t="s">
        <v>216</v>
      </c>
      <c r="B88" s="62"/>
      <c r="C88" s="62"/>
      <c r="D88" s="62"/>
      <c r="E88" s="62"/>
      <c r="F88" s="62"/>
      <c r="G88" s="62"/>
      <c r="H88" s="62"/>
      <c r="I88" s="62"/>
      <c r="J88" s="62"/>
      <c r="K88" s="62"/>
      <c r="L88" s="62"/>
      <c r="M88" s="62"/>
    </row>
    <row r="89" spans="1:13" ht="12" customHeight="1">
      <c r="B89" s="84" t="str">
        <f>Table_4.0_Information!$A$10</f>
        <v>7 add state in table 0</v>
      </c>
      <c r="C89" s="84"/>
      <c r="D89" s="84"/>
      <c r="E89" s="84"/>
      <c r="F89" s="84"/>
      <c r="G89" s="84"/>
      <c r="H89" s="84"/>
      <c r="I89" s="84"/>
      <c r="J89" s="84"/>
      <c r="K89" s="84"/>
      <c r="L89" s="84"/>
      <c r="M89" s="84"/>
    </row>
    <row r="90" spans="1:13" ht="12" customHeight="1">
      <c r="A90" s="58" t="s">
        <v>199</v>
      </c>
      <c r="B90" s="59" t="s">
        <v>200</v>
      </c>
      <c r="C90" s="59" t="s">
        <v>201</v>
      </c>
      <c r="D90" s="60" t="s">
        <v>298</v>
      </c>
      <c r="E90" s="60" t="s">
        <v>299</v>
      </c>
      <c r="F90" s="59" t="s">
        <v>204</v>
      </c>
      <c r="G90" s="59" t="s">
        <v>205</v>
      </c>
      <c r="H90" s="59" t="s">
        <v>206</v>
      </c>
      <c r="I90" s="59" t="s">
        <v>207</v>
      </c>
      <c r="J90" s="59" t="s">
        <v>208</v>
      </c>
      <c r="K90" s="60" t="s">
        <v>300</v>
      </c>
      <c r="L90" s="60" t="s">
        <v>301</v>
      </c>
      <c r="M90" s="60" t="s">
        <v>302</v>
      </c>
    </row>
    <row r="91" spans="1:13" ht="12" customHeight="1">
      <c r="A91" s="61" t="s">
        <v>200</v>
      </c>
      <c r="B91" s="62"/>
      <c r="C91" s="62"/>
      <c r="D91" s="62"/>
      <c r="E91" s="62"/>
      <c r="F91" s="62"/>
      <c r="G91" s="62"/>
      <c r="H91" s="62"/>
      <c r="I91" s="62"/>
      <c r="J91" s="62"/>
      <c r="K91" s="62"/>
      <c r="L91" s="62"/>
      <c r="M91" s="62"/>
    </row>
    <row r="92" spans="1:13" ht="12" customHeight="1">
      <c r="A92" s="61" t="s">
        <v>201</v>
      </c>
      <c r="B92" s="62"/>
      <c r="C92" s="62"/>
      <c r="D92" s="62"/>
      <c r="E92" s="62"/>
      <c r="F92" s="62"/>
      <c r="G92" s="62"/>
      <c r="H92" s="62"/>
      <c r="I92" s="62"/>
      <c r="J92" s="62"/>
      <c r="K92" s="62"/>
      <c r="L92" s="62"/>
      <c r="M92" s="62"/>
    </row>
    <row r="93" spans="1:13" ht="12" customHeight="1">
      <c r="A93" s="63" t="s">
        <v>212</v>
      </c>
      <c r="B93" s="62"/>
      <c r="C93" s="62"/>
      <c r="D93" s="62"/>
      <c r="E93" s="62"/>
      <c r="F93" s="62"/>
      <c r="G93" s="62"/>
      <c r="H93" s="62"/>
      <c r="I93" s="62"/>
      <c r="J93" s="62"/>
      <c r="K93" s="62"/>
      <c r="L93" s="62"/>
      <c r="M93" s="62"/>
    </row>
    <row r="94" spans="1:13" ht="12" customHeight="1">
      <c r="A94" s="61" t="s">
        <v>213</v>
      </c>
      <c r="B94" s="62"/>
      <c r="C94" s="62"/>
      <c r="D94" s="62"/>
      <c r="E94" s="62"/>
      <c r="F94" s="62"/>
      <c r="G94" s="62"/>
      <c r="H94" s="62"/>
      <c r="I94" s="62"/>
      <c r="J94" s="62"/>
      <c r="K94" s="62"/>
      <c r="L94" s="62"/>
      <c r="M94" s="62"/>
    </row>
    <row r="95" spans="1:13" ht="12" customHeight="1">
      <c r="A95" s="61" t="s">
        <v>204</v>
      </c>
      <c r="B95" s="62"/>
      <c r="C95" s="62"/>
      <c r="D95" s="62"/>
      <c r="E95" s="62"/>
      <c r="F95" s="62"/>
      <c r="G95" s="62"/>
      <c r="H95" s="62"/>
      <c r="I95" s="62"/>
      <c r="J95" s="62"/>
      <c r="K95" s="62"/>
      <c r="L95" s="62"/>
      <c r="M95" s="62"/>
    </row>
    <row r="96" spans="1:13" ht="12" customHeight="1">
      <c r="A96" s="61" t="s">
        <v>205</v>
      </c>
      <c r="B96" s="62"/>
      <c r="C96" s="62"/>
      <c r="D96" s="62"/>
      <c r="E96" s="62"/>
      <c r="F96" s="62"/>
      <c r="G96" s="62"/>
      <c r="H96" s="62"/>
      <c r="I96" s="62"/>
      <c r="J96" s="62"/>
      <c r="K96" s="62"/>
      <c r="L96" s="62"/>
      <c r="M96" s="62"/>
    </row>
    <row r="97" spans="1:13" ht="12" customHeight="1">
      <c r="A97" s="61" t="s">
        <v>206</v>
      </c>
      <c r="B97" s="62"/>
      <c r="C97" s="62"/>
      <c r="D97" s="62"/>
      <c r="E97" s="62"/>
      <c r="F97" s="62"/>
      <c r="G97" s="62"/>
      <c r="H97" s="62"/>
      <c r="I97" s="62"/>
      <c r="J97" s="62"/>
      <c r="K97" s="62"/>
      <c r="L97" s="62"/>
      <c r="M97" s="62"/>
    </row>
    <row r="98" spans="1:13" ht="12" customHeight="1">
      <c r="A98" s="61" t="s">
        <v>207</v>
      </c>
      <c r="B98" s="62"/>
      <c r="C98" s="62"/>
      <c r="D98" s="62"/>
      <c r="E98" s="62"/>
      <c r="F98" s="62"/>
      <c r="G98" s="62"/>
      <c r="H98" s="62"/>
      <c r="I98" s="62"/>
      <c r="J98" s="62"/>
      <c r="K98" s="62"/>
      <c r="L98" s="62"/>
      <c r="M98" s="62"/>
    </row>
    <row r="99" spans="1:13" ht="12" customHeight="1">
      <c r="A99" s="61" t="s">
        <v>208</v>
      </c>
      <c r="B99" s="62"/>
      <c r="C99" s="62"/>
      <c r="D99" s="62"/>
      <c r="E99" s="62"/>
      <c r="F99" s="62"/>
      <c r="G99" s="62"/>
      <c r="H99" s="62"/>
      <c r="I99" s="62"/>
      <c r="J99" s="62"/>
      <c r="K99" s="62"/>
      <c r="L99" s="62"/>
      <c r="M99" s="62"/>
    </row>
    <row r="100" spans="1:13" ht="12" customHeight="1">
      <c r="A100" s="61" t="s">
        <v>214</v>
      </c>
      <c r="B100" s="62"/>
      <c r="C100" s="62"/>
      <c r="D100" s="62"/>
      <c r="E100" s="62"/>
      <c r="F100" s="62"/>
      <c r="G100" s="62"/>
      <c r="H100" s="62"/>
      <c r="I100" s="62"/>
      <c r="J100" s="62"/>
      <c r="K100" s="62"/>
      <c r="L100" s="62"/>
      <c r="M100" s="62"/>
    </row>
    <row r="101" spans="1:13" ht="12" customHeight="1">
      <c r="A101" s="61" t="s">
        <v>215</v>
      </c>
      <c r="B101" s="62"/>
      <c r="C101" s="62"/>
      <c r="D101" s="62"/>
      <c r="E101" s="62"/>
      <c r="F101" s="62"/>
      <c r="G101" s="62"/>
      <c r="H101" s="62"/>
      <c r="I101" s="62"/>
      <c r="J101" s="62"/>
      <c r="K101" s="62"/>
      <c r="L101" s="62"/>
      <c r="M101" s="62"/>
    </row>
    <row r="102" spans="1:13" ht="12" customHeight="1">
      <c r="A102" s="61" t="s">
        <v>216</v>
      </c>
      <c r="B102" s="62"/>
      <c r="C102" s="62"/>
      <c r="D102" s="62"/>
      <c r="E102" s="62"/>
      <c r="F102" s="62"/>
      <c r="G102" s="62"/>
      <c r="H102" s="62"/>
      <c r="I102" s="62"/>
      <c r="J102" s="62"/>
      <c r="K102" s="62"/>
      <c r="L102" s="62"/>
      <c r="M102" s="62"/>
    </row>
    <row r="103" spans="1:13" ht="12" customHeight="1">
      <c r="B103" s="84" t="str">
        <f>Table_4.0_Information!$A$11</f>
        <v>8 add state in table 0</v>
      </c>
      <c r="C103" s="84"/>
      <c r="D103" s="84"/>
      <c r="E103" s="84"/>
      <c r="F103" s="84"/>
      <c r="G103" s="84"/>
      <c r="H103" s="84"/>
      <c r="I103" s="84"/>
      <c r="J103" s="84"/>
      <c r="K103" s="84"/>
      <c r="L103" s="84"/>
      <c r="M103" s="84"/>
    </row>
    <row r="104" spans="1:13" ht="12" customHeight="1">
      <c r="A104" s="58" t="s">
        <v>199</v>
      </c>
      <c r="B104" s="59" t="s">
        <v>200</v>
      </c>
      <c r="C104" s="59" t="s">
        <v>201</v>
      </c>
      <c r="D104" s="60" t="s">
        <v>298</v>
      </c>
      <c r="E104" s="60" t="s">
        <v>299</v>
      </c>
      <c r="F104" s="59" t="s">
        <v>204</v>
      </c>
      <c r="G104" s="59" t="s">
        <v>205</v>
      </c>
      <c r="H104" s="59" t="s">
        <v>206</v>
      </c>
      <c r="I104" s="59" t="s">
        <v>207</v>
      </c>
      <c r="J104" s="59" t="s">
        <v>208</v>
      </c>
      <c r="K104" s="60" t="s">
        <v>300</v>
      </c>
      <c r="L104" s="60" t="s">
        <v>301</v>
      </c>
      <c r="M104" s="60" t="s">
        <v>302</v>
      </c>
    </row>
    <row r="105" spans="1:13" ht="12" customHeight="1">
      <c r="A105" s="61" t="s">
        <v>200</v>
      </c>
      <c r="B105" s="62"/>
      <c r="C105" s="62"/>
      <c r="D105" s="62"/>
      <c r="E105" s="62"/>
      <c r="F105" s="62"/>
      <c r="G105" s="62"/>
      <c r="H105" s="62"/>
      <c r="I105" s="62"/>
      <c r="J105" s="62"/>
      <c r="K105" s="62"/>
      <c r="L105" s="62"/>
      <c r="M105" s="62"/>
    </row>
    <row r="106" spans="1:13" ht="12" customHeight="1">
      <c r="A106" s="61" t="s">
        <v>201</v>
      </c>
      <c r="B106" s="62"/>
      <c r="C106" s="62"/>
      <c r="D106" s="62"/>
      <c r="E106" s="62"/>
      <c r="F106" s="62"/>
      <c r="G106" s="62"/>
      <c r="H106" s="62"/>
      <c r="I106" s="62"/>
      <c r="J106" s="62"/>
      <c r="K106" s="62"/>
      <c r="L106" s="62"/>
      <c r="M106" s="62"/>
    </row>
    <row r="107" spans="1:13" ht="12" customHeight="1">
      <c r="A107" s="63" t="s">
        <v>212</v>
      </c>
      <c r="B107" s="62"/>
      <c r="C107" s="62"/>
      <c r="D107" s="62"/>
      <c r="E107" s="62"/>
      <c r="F107" s="62"/>
      <c r="G107" s="62"/>
      <c r="H107" s="62"/>
      <c r="I107" s="62"/>
      <c r="J107" s="62"/>
      <c r="K107" s="62"/>
      <c r="L107" s="62"/>
      <c r="M107" s="62"/>
    </row>
    <row r="108" spans="1:13" ht="12" customHeight="1">
      <c r="A108" s="61" t="s">
        <v>213</v>
      </c>
      <c r="B108" s="62"/>
      <c r="C108" s="62"/>
      <c r="D108" s="62"/>
      <c r="E108" s="62"/>
      <c r="F108" s="62"/>
      <c r="G108" s="62"/>
      <c r="H108" s="62"/>
      <c r="I108" s="62"/>
      <c r="J108" s="62"/>
      <c r="K108" s="62"/>
      <c r="L108" s="62"/>
      <c r="M108" s="62"/>
    </row>
    <row r="109" spans="1:13" ht="12" customHeight="1">
      <c r="A109" s="61" t="s">
        <v>204</v>
      </c>
      <c r="B109" s="62"/>
      <c r="C109" s="62"/>
      <c r="D109" s="62"/>
      <c r="E109" s="62"/>
      <c r="F109" s="62"/>
      <c r="G109" s="62"/>
      <c r="H109" s="62"/>
      <c r="I109" s="62"/>
      <c r="J109" s="62"/>
      <c r="K109" s="62"/>
      <c r="L109" s="62"/>
      <c r="M109" s="62"/>
    </row>
    <row r="110" spans="1:13" ht="12" customHeight="1">
      <c r="A110" s="61" t="s">
        <v>205</v>
      </c>
      <c r="B110" s="62"/>
      <c r="C110" s="62"/>
      <c r="D110" s="62"/>
      <c r="E110" s="62"/>
      <c r="F110" s="62"/>
      <c r="G110" s="62"/>
      <c r="H110" s="62"/>
      <c r="I110" s="62"/>
      <c r="J110" s="62"/>
      <c r="K110" s="62"/>
      <c r="L110" s="62"/>
      <c r="M110" s="62"/>
    </row>
    <row r="111" spans="1:13" ht="12" customHeight="1">
      <c r="A111" s="61" t="s">
        <v>206</v>
      </c>
      <c r="B111" s="62"/>
      <c r="C111" s="62"/>
      <c r="D111" s="62"/>
      <c r="E111" s="62"/>
      <c r="F111" s="62"/>
      <c r="G111" s="62"/>
      <c r="H111" s="62"/>
      <c r="I111" s="62"/>
      <c r="J111" s="62"/>
      <c r="K111" s="62"/>
      <c r="L111" s="62"/>
      <c r="M111" s="62"/>
    </row>
    <row r="112" spans="1:13" ht="12" customHeight="1">
      <c r="A112" s="61" t="s">
        <v>207</v>
      </c>
      <c r="B112" s="62"/>
      <c r="C112" s="62"/>
      <c r="D112" s="62"/>
      <c r="E112" s="62"/>
      <c r="F112" s="62"/>
      <c r="G112" s="62"/>
      <c r="H112" s="62"/>
      <c r="I112" s="62"/>
      <c r="J112" s="62"/>
      <c r="K112" s="62"/>
      <c r="L112" s="62"/>
      <c r="M112" s="62"/>
    </row>
    <row r="113" spans="1:13" ht="12" customHeight="1">
      <c r="A113" s="61" t="s">
        <v>208</v>
      </c>
      <c r="B113" s="62"/>
      <c r="C113" s="62"/>
      <c r="D113" s="62"/>
      <c r="E113" s="62"/>
      <c r="F113" s="62"/>
      <c r="G113" s="62"/>
      <c r="H113" s="62"/>
      <c r="I113" s="62"/>
      <c r="J113" s="62"/>
      <c r="K113" s="62"/>
      <c r="L113" s="62"/>
      <c r="M113" s="62"/>
    </row>
    <row r="114" spans="1:13" ht="12" customHeight="1">
      <c r="A114" s="61" t="s">
        <v>214</v>
      </c>
      <c r="B114" s="62"/>
      <c r="C114" s="62"/>
      <c r="D114" s="62"/>
      <c r="E114" s="62"/>
      <c r="F114" s="62"/>
      <c r="G114" s="62"/>
      <c r="H114" s="62"/>
      <c r="I114" s="62"/>
      <c r="J114" s="62"/>
      <c r="K114" s="62"/>
      <c r="L114" s="62"/>
      <c r="M114" s="62"/>
    </row>
    <row r="115" spans="1:13" ht="12" customHeight="1">
      <c r="A115" s="61" t="s">
        <v>215</v>
      </c>
      <c r="B115" s="62"/>
      <c r="C115" s="62"/>
      <c r="D115" s="62"/>
      <c r="E115" s="62"/>
      <c r="F115" s="62"/>
      <c r="G115" s="62"/>
      <c r="H115" s="62"/>
      <c r="I115" s="62"/>
      <c r="J115" s="62"/>
      <c r="K115" s="62"/>
      <c r="L115" s="62"/>
      <c r="M115" s="62"/>
    </row>
    <row r="116" spans="1:13" ht="12" customHeight="1">
      <c r="A116" s="61" t="s">
        <v>216</v>
      </c>
      <c r="B116" s="62"/>
      <c r="C116" s="62"/>
      <c r="D116" s="62"/>
      <c r="E116" s="62"/>
      <c r="F116" s="62"/>
      <c r="G116" s="62"/>
      <c r="H116" s="62"/>
      <c r="I116" s="62"/>
      <c r="J116" s="62"/>
      <c r="K116" s="62"/>
      <c r="L116" s="62"/>
      <c r="M116" s="62"/>
    </row>
    <row r="117" spans="1:13" ht="12" customHeight="1">
      <c r="B117" s="84" t="str">
        <f>Table_4.0_Information!$A$12</f>
        <v>9 add state in table 0</v>
      </c>
      <c r="C117" s="84"/>
      <c r="D117" s="84"/>
      <c r="E117" s="84"/>
      <c r="F117" s="84"/>
      <c r="G117" s="84"/>
      <c r="H117" s="84"/>
      <c r="I117" s="84"/>
      <c r="J117" s="84"/>
      <c r="K117" s="84"/>
      <c r="L117" s="84"/>
      <c r="M117" s="84"/>
    </row>
    <row r="118" spans="1:13" ht="12" customHeight="1">
      <c r="A118" s="58" t="s">
        <v>199</v>
      </c>
      <c r="B118" s="59" t="s">
        <v>200</v>
      </c>
      <c r="C118" s="59" t="s">
        <v>201</v>
      </c>
      <c r="D118" s="60" t="s">
        <v>298</v>
      </c>
      <c r="E118" s="60" t="s">
        <v>299</v>
      </c>
      <c r="F118" s="59" t="s">
        <v>204</v>
      </c>
      <c r="G118" s="59" t="s">
        <v>205</v>
      </c>
      <c r="H118" s="59" t="s">
        <v>206</v>
      </c>
      <c r="I118" s="59" t="s">
        <v>207</v>
      </c>
      <c r="J118" s="59" t="s">
        <v>208</v>
      </c>
      <c r="K118" s="60" t="s">
        <v>300</v>
      </c>
      <c r="L118" s="60" t="s">
        <v>301</v>
      </c>
      <c r="M118" s="60" t="s">
        <v>302</v>
      </c>
    </row>
    <row r="119" spans="1:13" ht="12" customHeight="1">
      <c r="A119" s="61" t="s">
        <v>200</v>
      </c>
      <c r="B119" s="62"/>
      <c r="C119" s="62"/>
      <c r="D119" s="62"/>
      <c r="E119" s="62"/>
      <c r="F119" s="62"/>
      <c r="G119" s="62"/>
      <c r="H119" s="62"/>
      <c r="I119" s="62"/>
      <c r="J119" s="62"/>
      <c r="K119" s="62"/>
      <c r="L119" s="62"/>
      <c r="M119" s="62"/>
    </row>
    <row r="120" spans="1:13" ht="12" customHeight="1">
      <c r="A120" s="61" t="s">
        <v>201</v>
      </c>
      <c r="B120" s="62"/>
      <c r="C120" s="62"/>
      <c r="D120" s="62"/>
      <c r="E120" s="62"/>
      <c r="F120" s="62"/>
      <c r="G120" s="62"/>
      <c r="H120" s="62"/>
      <c r="I120" s="62"/>
      <c r="J120" s="62"/>
      <c r="K120" s="62"/>
      <c r="L120" s="62"/>
      <c r="M120" s="62"/>
    </row>
    <row r="121" spans="1:13" ht="12" customHeight="1">
      <c r="A121" s="63" t="s">
        <v>212</v>
      </c>
      <c r="B121" s="62"/>
      <c r="C121" s="62"/>
      <c r="D121" s="62"/>
      <c r="E121" s="62"/>
      <c r="F121" s="62"/>
      <c r="G121" s="62"/>
      <c r="H121" s="62"/>
      <c r="I121" s="62"/>
      <c r="J121" s="62"/>
      <c r="K121" s="62"/>
      <c r="L121" s="62"/>
      <c r="M121" s="62"/>
    </row>
    <row r="122" spans="1:13" ht="12" customHeight="1">
      <c r="A122" s="61" t="s">
        <v>213</v>
      </c>
      <c r="B122" s="62"/>
      <c r="C122" s="62"/>
      <c r="D122" s="62"/>
      <c r="E122" s="62"/>
      <c r="F122" s="62"/>
      <c r="G122" s="62"/>
      <c r="H122" s="62"/>
      <c r="I122" s="62"/>
      <c r="J122" s="62"/>
      <c r="K122" s="62"/>
      <c r="L122" s="62"/>
      <c r="M122" s="62"/>
    </row>
    <row r="123" spans="1:13" ht="12" customHeight="1">
      <c r="A123" s="61" t="s">
        <v>204</v>
      </c>
      <c r="B123" s="62"/>
      <c r="C123" s="62"/>
      <c r="D123" s="62"/>
      <c r="E123" s="62"/>
      <c r="F123" s="62"/>
      <c r="G123" s="62"/>
      <c r="H123" s="62"/>
      <c r="I123" s="62"/>
      <c r="J123" s="62"/>
      <c r="K123" s="62"/>
      <c r="L123" s="62"/>
      <c r="M123" s="62"/>
    </row>
    <row r="124" spans="1:13" ht="12" customHeight="1">
      <c r="A124" s="61" t="s">
        <v>205</v>
      </c>
      <c r="B124" s="62"/>
      <c r="C124" s="62"/>
      <c r="D124" s="62"/>
      <c r="E124" s="62"/>
      <c r="F124" s="62"/>
      <c r="G124" s="62"/>
      <c r="H124" s="62"/>
      <c r="I124" s="62"/>
      <c r="J124" s="62"/>
      <c r="K124" s="62"/>
      <c r="L124" s="62"/>
      <c r="M124" s="62"/>
    </row>
    <row r="125" spans="1:13" ht="12" customHeight="1">
      <c r="A125" s="61" t="s">
        <v>206</v>
      </c>
      <c r="B125" s="62"/>
      <c r="C125" s="62"/>
      <c r="D125" s="62"/>
      <c r="E125" s="62"/>
      <c r="F125" s="62"/>
      <c r="G125" s="62"/>
      <c r="H125" s="62"/>
      <c r="I125" s="62"/>
      <c r="J125" s="62"/>
      <c r="K125" s="62"/>
      <c r="L125" s="62"/>
      <c r="M125" s="62"/>
    </row>
    <row r="126" spans="1:13" ht="12" customHeight="1">
      <c r="A126" s="61" t="s">
        <v>207</v>
      </c>
      <c r="B126" s="62"/>
      <c r="C126" s="62"/>
      <c r="D126" s="62"/>
      <c r="E126" s="62"/>
      <c r="F126" s="62"/>
      <c r="G126" s="62"/>
      <c r="H126" s="62"/>
      <c r="I126" s="62"/>
      <c r="J126" s="62"/>
      <c r="K126" s="62"/>
      <c r="L126" s="62"/>
      <c r="M126" s="62"/>
    </row>
    <row r="127" spans="1:13" ht="12" customHeight="1">
      <c r="A127" s="61" t="s">
        <v>208</v>
      </c>
      <c r="B127" s="62"/>
      <c r="C127" s="62"/>
      <c r="D127" s="62"/>
      <c r="E127" s="62"/>
      <c r="F127" s="62"/>
      <c r="G127" s="62"/>
      <c r="H127" s="62"/>
      <c r="I127" s="62"/>
      <c r="J127" s="62"/>
      <c r="K127" s="62"/>
      <c r="L127" s="62"/>
      <c r="M127" s="62"/>
    </row>
    <row r="128" spans="1:13" ht="12" customHeight="1">
      <c r="A128" s="61" t="s">
        <v>214</v>
      </c>
      <c r="B128" s="62"/>
      <c r="C128" s="62"/>
      <c r="D128" s="62"/>
      <c r="E128" s="62"/>
      <c r="F128" s="62"/>
      <c r="G128" s="62"/>
      <c r="H128" s="62"/>
      <c r="I128" s="62"/>
      <c r="J128" s="62"/>
      <c r="K128" s="62"/>
      <c r="L128" s="62"/>
      <c r="M128" s="62"/>
    </row>
    <row r="129" spans="1:13" ht="12" customHeight="1">
      <c r="A129" s="61" t="s">
        <v>215</v>
      </c>
      <c r="B129" s="62"/>
      <c r="C129" s="62"/>
      <c r="D129" s="62"/>
      <c r="E129" s="62"/>
      <c r="F129" s="62"/>
      <c r="G129" s="62"/>
      <c r="H129" s="62"/>
      <c r="I129" s="62"/>
      <c r="J129" s="62"/>
      <c r="K129" s="62"/>
      <c r="L129" s="62"/>
      <c r="M129" s="62"/>
    </row>
    <row r="130" spans="1:13" ht="12" customHeight="1">
      <c r="A130" s="61" t="s">
        <v>216</v>
      </c>
      <c r="B130" s="62"/>
      <c r="C130" s="62"/>
      <c r="D130" s="62"/>
      <c r="E130" s="62"/>
      <c r="F130" s="62"/>
      <c r="G130" s="62"/>
      <c r="H130" s="62"/>
      <c r="I130" s="62"/>
      <c r="J130" s="62"/>
      <c r="K130" s="62"/>
      <c r="L130" s="62"/>
      <c r="M130" s="62"/>
    </row>
    <row r="131" spans="1:13" ht="12" customHeight="1">
      <c r="B131" s="84" t="str">
        <f>Table_4.0_Information!$A$13</f>
        <v>10 add state in table 0</v>
      </c>
      <c r="C131" s="84"/>
      <c r="D131" s="84"/>
      <c r="E131" s="84"/>
      <c r="F131" s="84"/>
      <c r="G131" s="84"/>
      <c r="H131" s="84"/>
      <c r="I131" s="84"/>
      <c r="J131" s="84"/>
      <c r="K131" s="84"/>
      <c r="L131" s="84"/>
      <c r="M131" s="84"/>
    </row>
    <row r="132" spans="1:13" ht="12" customHeight="1">
      <c r="A132" s="58" t="s">
        <v>199</v>
      </c>
      <c r="B132" s="59" t="s">
        <v>200</v>
      </c>
      <c r="C132" s="59" t="s">
        <v>201</v>
      </c>
      <c r="D132" s="60" t="s">
        <v>298</v>
      </c>
      <c r="E132" s="60" t="s">
        <v>299</v>
      </c>
      <c r="F132" s="59" t="s">
        <v>204</v>
      </c>
      <c r="G132" s="59" t="s">
        <v>205</v>
      </c>
      <c r="H132" s="59" t="s">
        <v>206</v>
      </c>
      <c r="I132" s="59" t="s">
        <v>207</v>
      </c>
      <c r="J132" s="59" t="s">
        <v>208</v>
      </c>
      <c r="K132" s="60" t="s">
        <v>300</v>
      </c>
      <c r="L132" s="60" t="s">
        <v>301</v>
      </c>
      <c r="M132" s="60" t="s">
        <v>302</v>
      </c>
    </row>
    <row r="133" spans="1:13" ht="12" customHeight="1">
      <c r="A133" s="61" t="s">
        <v>200</v>
      </c>
      <c r="B133" s="62"/>
      <c r="C133" s="62"/>
      <c r="D133" s="62"/>
      <c r="E133" s="62"/>
      <c r="F133" s="62"/>
      <c r="G133" s="62"/>
      <c r="H133" s="62"/>
      <c r="I133" s="62"/>
      <c r="J133" s="62"/>
      <c r="K133" s="62"/>
      <c r="L133" s="62"/>
      <c r="M133" s="62"/>
    </row>
    <row r="134" spans="1:13" ht="12" customHeight="1">
      <c r="A134" s="61" t="s">
        <v>201</v>
      </c>
      <c r="B134" s="62"/>
      <c r="C134" s="62"/>
      <c r="D134" s="62"/>
      <c r="E134" s="62"/>
      <c r="F134" s="62"/>
      <c r="G134" s="62"/>
      <c r="H134" s="62"/>
      <c r="I134" s="62"/>
      <c r="J134" s="62"/>
      <c r="K134" s="62"/>
      <c r="L134" s="62"/>
      <c r="M134" s="62"/>
    </row>
    <row r="135" spans="1:13" ht="12" customHeight="1">
      <c r="A135" s="63" t="s">
        <v>212</v>
      </c>
      <c r="B135" s="62"/>
      <c r="C135" s="62"/>
      <c r="D135" s="62"/>
      <c r="E135" s="62"/>
      <c r="F135" s="62"/>
      <c r="G135" s="62"/>
      <c r="H135" s="62"/>
      <c r="I135" s="62"/>
      <c r="J135" s="62"/>
      <c r="K135" s="62"/>
      <c r="L135" s="62"/>
      <c r="M135" s="62"/>
    </row>
    <row r="136" spans="1:13" ht="12" customHeight="1">
      <c r="A136" s="61" t="s">
        <v>213</v>
      </c>
      <c r="B136" s="62"/>
      <c r="C136" s="62"/>
      <c r="D136" s="62"/>
      <c r="E136" s="62"/>
      <c r="F136" s="62"/>
      <c r="G136" s="62"/>
      <c r="H136" s="62"/>
      <c r="I136" s="62"/>
      <c r="J136" s="62"/>
      <c r="K136" s="62"/>
      <c r="L136" s="62"/>
      <c r="M136" s="62"/>
    </row>
    <row r="137" spans="1:13" ht="12" customHeight="1">
      <c r="A137" s="61" t="s">
        <v>204</v>
      </c>
      <c r="B137" s="62"/>
      <c r="C137" s="62"/>
      <c r="D137" s="62"/>
      <c r="E137" s="62"/>
      <c r="F137" s="62"/>
      <c r="G137" s="62"/>
      <c r="H137" s="62"/>
      <c r="I137" s="62"/>
      <c r="J137" s="62"/>
      <c r="K137" s="62"/>
      <c r="L137" s="62"/>
      <c r="M137" s="62"/>
    </row>
    <row r="138" spans="1:13" ht="12" customHeight="1">
      <c r="A138" s="61" t="s">
        <v>205</v>
      </c>
      <c r="B138" s="62"/>
      <c r="C138" s="62"/>
      <c r="D138" s="62"/>
      <c r="E138" s="62"/>
      <c r="F138" s="62"/>
      <c r="G138" s="62"/>
      <c r="H138" s="62"/>
      <c r="I138" s="62"/>
      <c r="J138" s="62"/>
      <c r="K138" s="62"/>
      <c r="L138" s="62"/>
      <c r="M138" s="62"/>
    </row>
    <row r="139" spans="1:13" ht="12" customHeight="1">
      <c r="A139" s="61" t="s">
        <v>206</v>
      </c>
      <c r="B139" s="62"/>
      <c r="C139" s="62"/>
      <c r="D139" s="62"/>
      <c r="E139" s="62"/>
      <c r="F139" s="62"/>
      <c r="G139" s="62"/>
      <c r="H139" s="62"/>
      <c r="I139" s="62"/>
      <c r="J139" s="62"/>
      <c r="K139" s="62"/>
      <c r="L139" s="62"/>
      <c r="M139" s="62"/>
    </row>
    <row r="140" spans="1:13" ht="12" customHeight="1">
      <c r="A140" s="61" t="s">
        <v>207</v>
      </c>
      <c r="B140" s="62"/>
      <c r="C140" s="62"/>
      <c r="D140" s="62"/>
      <c r="E140" s="62"/>
      <c r="F140" s="62"/>
      <c r="G140" s="62"/>
      <c r="H140" s="62"/>
      <c r="I140" s="62"/>
      <c r="J140" s="62"/>
      <c r="K140" s="62"/>
      <c r="L140" s="62"/>
      <c r="M140" s="62"/>
    </row>
    <row r="141" spans="1:13" ht="12" customHeight="1">
      <c r="A141" s="61" t="s">
        <v>208</v>
      </c>
      <c r="B141" s="62"/>
      <c r="C141" s="62"/>
      <c r="D141" s="62"/>
      <c r="E141" s="62"/>
      <c r="F141" s="62"/>
      <c r="G141" s="62"/>
      <c r="H141" s="62"/>
      <c r="I141" s="62"/>
      <c r="J141" s="62"/>
      <c r="K141" s="62"/>
      <c r="L141" s="62"/>
      <c r="M141" s="62"/>
    </row>
    <row r="142" spans="1:13" ht="12" customHeight="1">
      <c r="A142" s="61" t="s">
        <v>214</v>
      </c>
      <c r="B142" s="62"/>
      <c r="C142" s="62"/>
      <c r="D142" s="62"/>
      <c r="E142" s="62"/>
      <c r="F142" s="62"/>
      <c r="G142" s="62"/>
      <c r="H142" s="62"/>
      <c r="I142" s="62"/>
      <c r="J142" s="62"/>
      <c r="K142" s="62"/>
      <c r="L142" s="62"/>
      <c r="M142" s="62"/>
    </row>
    <row r="143" spans="1:13" ht="12" customHeight="1">
      <c r="A143" s="61" t="s">
        <v>215</v>
      </c>
      <c r="B143" s="62"/>
      <c r="C143" s="62"/>
      <c r="D143" s="62"/>
      <c r="E143" s="62"/>
      <c r="F143" s="62"/>
      <c r="G143" s="62"/>
      <c r="H143" s="62"/>
      <c r="I143" s="62"/>
      <c r="J143" s="62"/>
      <c r="K143" s="62"/>
      <c r="L143" s="62"/>
      <c r="M143" s="62"/>
    </row>
    <row r="144" spans="1:13" ht="12" customHeight="1">
      <c r="A144" s="61" t="s">
        <v>216</v>
      </c>
      <c r="B144" s="62"/>
      <c r="C144" s="62"/>
      <c r="D144" s="62"/>
      <c r="E144" s="62"/>
      <c r="F144" s="62"/>
      <c r="G144" s="62"/>
      <c r="H144" s="62"/>
      <c r="I144" s="62"/>
      <c r="J144" s="62"/>
      <c r="K144" s="62"/>
      <c r="L144" s="62"/>
      <c r="M144" s="62"/>
    </row>
    <row r="145" spans="1:13" ht="12" customHeight="1">
      <c r="B145" s="84" t="str">
        <f>Table_4.0_Information!$A$14</f>
        <v>11 add state in table 0</v>
      </c>
      <c r="C145" s="84"/>
      <c r="D145" s="84"/>
      <c r="E145" s="84"/>
      <c r="F145" s="84"/>
      <c r="G145" s="84"/>
      <c r="H145" s="84"/>
      <c r="I145" s="84"/>
      <c r="J145" s="84"/>
      <c r="K145" s="84"/>
      <c r="L145" s="84"/>
      <c r="M145" s="84"/>
    </row>
    <row r="146" spans="1:13" ht="12" customHeight="1">
      <c r="A146" s="58" t="s">
        <v>199</v>
      </c>
      <c r="B146" s="59" t="s">
        <v>200</v>
      </c>
      <c r="C146" s="59" t="s">
        <v>201</v>
      </c>
      <c r="D146" s="60" t="s">
        <v>298</v>
      </c>
      <c r="E146" s="60" t="s">
        <v>299</v>
      </c>
      <c r="F146" s="59" t="s">
        <v>204</v>
      </c>
      <c r="G146" s="59" t="s">
        <v>205</v>
      </c>
      <c r="H146" s="59" t="s">
        <v>206</v>
      </c>
      <c r="I146" s="59" t="s">
        <v>207</v>
      </c>
      <c r="J146" s="59" t="s">
        <v>208</v>
      </c>
      <c r="K146" s="60" t="s">
        <v>300</v>
      </c>
      <c r="L146" s="60" t="s">
        <v>301</v>
      </c>
      <c r="M146" s="60" t="s">
        <v>302</v>
      </c>
    </row>
    <row r="147" spans="1:13" ht="12" customHeight="1">
      <c r="A147" s="61" t="s">
        <v>200</v>
      </c>
      <c r="B147" s="62"/>
      <c r="C147" s="62"/>
      <c r="D147" s="62"/>
      <c r="E147" s="62"/>
      <c r="F147" s="62"/>
      <c r="G147" s="62"/>
      <c r="H147" s="62"/>
      <c r="I147" s="62"/>
      <c r="J147" s="62"/>
      <c r="K147" s="62"/>
      <c r="L147" s="62"/>
      <c r="M147" s="62"/>
    </row>
    <row r="148" spans="1:13" ht="12" customHeight="1">
      <c r="A148" s="61" t="s">
        <v>201</v>
      </c>
      <c r="B148" s="62"/>
      <c r="C148" s="62"/>
      <c r="D148" s="62"/>
      <c r="E148" s="62"/>
      <c r="F148" s="62"/>
      <c r="G148" s="62"/>
      <c r="H148" s="62"/>
      <c r="I148" s="62"/>
      <c r="J148" s="62"/>
      <c r="K148" s="62"/>
      <c r="L148" s="62"/>
      <c r="M148" s="62"/>
    </row>
    <row r="149" spans="1:13" ht="12" customHeight="1">
      <c r="A149" s="63" t="s">
        <v>212</v>
      </c>
      <c r="B149" s="62"/>
      <c r="C149" s="62"/>
      <c r="D149" s="62"/>
      <c r="E149" s="62"/>
      <c r="F149" s="62"/>
      <c r="G149" s="62"/>
      <c r="H149" s="62"/>
      <c r="I149" s="62"/>
      <c r="J149" s="62"/>
      <c r="K149" s="62"/>
      <c r="L149" s="62"/>
      <c r="M149" s="62"/>
    </row>
    <row r="150" spans="1:13" ht="12" customHeight="1">
      <c r="A150" s="61" t="s">
        <v>213</v>
      </c>
      <c r="B150" s="62"/>
      <c r="C150" s="62"/>
      <c r="D150" s="62"/>
      <c r="E150" s="62"/>
      <c r="F150" s="62"/>
      <c r="G150" s="62"/>
      <c r="H150" s="62"/>
      <c r="I150" s="62"/>
      <c r="J150" s="62"/>
      <c r="K150" s="62"/>
      <c r="L150" s="62"/>
      <c r="M150" s="62"/>
    </row>
    <row r="151" spans="1:13" ht="12" customHeight="1">
      <c r="A151" s="61" t="s">
        <v>204</v>
      </c>
      <c r="B151" s="62"/>
      <c r="C151" s="62"/>
      <c r="D151" s="62"/>
      <c r="E151" s="62"/>
      <c r="F151" s="62"/>
      <c r="G151" s="62"/>
      <c r="H151" s="62"/>
      <c r="I151" s="62"/>
      <c r="J151" s="62"/>
      <c r="K151" s="62"/>
      <c r="L151" s="62"/>
      <c r="M151" s="62"/>
    </row>
    <row r="152" spans="1:13" ht="12" customHeight="1">
      <c r="A152" s="61" t="s">
        <v>205</v>
      </c>
      <c r="B152" s="62"/>
      <c r="C152" s="62"/>
      <c r="D152" s="62"/>
      <c r="E152" s="62"/>
      <c r="F152" s="62"/>
      <c r="G152" s="62"/>
      <c r="H152" s="62"/>
      <c r="I152" s="62"/>
      <c r="J152" s="62"/>
      <c r="K152" s="62"/>
      <c r="L152" s="62"/>
      <c r="M152" s="62"/>
    </row>
    <row r="153" spans="1:13" ht="12" customHeight="1">
      <c r="A153" s="61" t="s">
        <v>206</v>
      </c>
      <c r="B153" s="62"/>
      <c r="C153" s="62"/>
      <c r="D153" s="62"/>
      <c r="E153" s="62"/>
      <c r="F153" s="62"/>
      <c r="G153" s="62"/>
      <c r="H153" s="62"/>
      <c r="I153" s="62"/>
      <c r="J153" s="62"/>
      <c r="K153" s="62"/>
      <c r="L153" s="62"/>
      <c r="M153" s="62"/>
    </row>
    <row r="154" spans="1:13" ht="12" customHeight="1">
      <c r="A154" s="61" t="s">
        <v>207</v>
      </c>
      <c r="B154" s="62"/>
      <c r="C154" s="62"/>
      <c r="D154" s="62"/>
      <c r="E154" s="62"/>
      <c r="F154" s="62"/>
      <c r="G154" s="62"/>
      <c r="H154" s="62"/>
      <c r="I154" s="62"/>
      <c r="J154" s="62"/>
      <c r="K154" s="62"/>
      <c r="L154" s="62"/>
      <c r="M154" s="62"/>
    </row>
    <row r="155" spans="1:13" ht="12" customHeight="1">
      <c r="A155" s="61" t="s">
        <v>208</v>
      </c>
      <c r="B155" s="62"/>
      <c r="C155" s="62"/>
      <c r="D155" s="62"/>
      <c r="E155" s="62"/>
      <c r="F155" s="62"/>
      <c r="G155" s="62"/>
      <c r="H155" s="62"/>
      <c r="I155" s="62"/>
      <c r="J155" s="62"/>
      <c r="K155" s="62"/>
      <c r="L155" s="62"/>
      <c r="M155" s="62"/>
    </row>
    <row r="156" spans="1:13" ht="12" customHeight="1">
      <c r="A156" s="61" t="s">
        <v>214</v>
      </c>
      <c r="B156" s="62"/>
      <c r="C156" s="62"/>
      <c r="D156" s="62"/>
      <c r="E156" s="62"/>
      <c r="F156" s="62"/>
      <c r="G156" s="62"/>
      <c r="H156" s="62"/>
      <c r="I156" s="62"/>
      <c r="J156" s="62"/>
      <c r="K156" s="62"/>
      <c r="L156" s="62"/>
      <c r="M156" s="62"/>
    </row>
    <row r="157" spans="1:13" ht="12" customHeight="1">
      <c r="A157" s="61" t="s">
        <v>215</v>
      </c>
      <c r="B157" s="62"/>
      <c r="C157" s="62"/>
      <c r="D157" s="62"/>
      <c r="E157" s="62"/>
      <c r="F157" s="62"/>
      <c r="G157" s="62"/>
      <c r="H157" s="62"/>
      <c r="I157" s="62"/>
      <c r="J157" s="62"/>
      <c r="K157" s="62"/>
      <c r="L157" s="62"/>
      <c r="M157" s="62"/>
    </row>
    <row r="158" spans="1:13" ht="12" customHeight="1">
      <c r="A158" s="61" t="s">
        <v>216</v>
      </c>
      <c r="B158" s="62"/>
      <c r="C158" s="62"/>
      <c r="D158" s="62"/>
      <c r="E158" s="62"/>
      <c r="F158" s="62"/>
      <c r="G158" s="62"/>
      <c r="H158" s="62"/>
      <c r="I158" s="62"/>
      <c r="J158" s="62"/>
      <c r="K158" s="62"/>
      <c r="L158" s="62"/>
      <c r="M158" s="62"/>
    </row>
    <row r="159" spans="1:13" ht="12" customHeight="1">
      <c r="B159" s="84" t="str">
        <f>Table_4.0_Information!$A$15</f>
        <v>12 add state in table 0</v>
      </c>
      <c r="C159" s="84"/>
      <c r="D159" s="84"/>
      <c r="E159" s="84"/>
      <c r="F159" s="84"/>
      <c r="G159" s="84"/>
      <c r="H159" s="84"/>
      <c r="I159" s="84"/>
      <c r="J159" s="84"/>
      <c r="K159" s="84"/>
      <c r="L159" s="84"/>
      <c r="M159" s="84"/>
    </row>
    <row r="160" spans="1:13" ht="12" customHeight="1">
      <c r="A160" s="58" t="s">
        <v>199</v>
      </c>
      <c r="B160" s="59" t="s">
        <v>200</v>
      </c>
      <c r="C160" s="59" t="s">
        <v>201</v>
      </c>
      <c r="D160" s="60" t="s">
        <v>298</v>
      </c>
      <c r="E160" s="60" t="s">
        <v>299</v>
      </c>
      <c r="F160" s="59" t="s">
        <v>204</v>
      </c>
      <c r="G160" s="59" t="s">
        <v>205</v>
      </c>
      <c r="H160" s="59" t="s">
        <v>206</v>
      </c>
      <c r="I160" s="59" t="s">
        <v>207</v>
      </c>
      <c r="J160" s="59" t="s">
        <v>208</v>
      </c>
      <c r="K160" s="60" t="s">
        <v>300</v>
      </c>
      <c r="L160" s="60" t="s">
        <v>301</v>
      </c>
      <c r="M160" s="60" t="s">
        <v>302</v>
      </c>
    </row>
    <row r="161" spans="1:13" ht="12" customHeight="1">
      <c r="A161" s="61" t="s">
        <v>200</v>
      </c>
      <c r="B161" s="62"/>
      <c r="C161" s="62"/>
      <c r="D161" s="62"/>
      <c r="E161" s="62"/>
      <c r="F161" s="62"/>
      <c r="G161" s="62"/>
      <c r="H161" s="62"/>
      <c r="I161" s="62"/>
      <c r="J161" s="62"/>
      <c r="K161" s="62"/>
      <c r="L161" s="62"/>
      <c r="M161" s="62"/>
    </row>
    <row r="162" spans="1:13" ht="12" customHeight="1">
      <c r="A162" s="61" t="s">
        <v>201</v>
      </c>
      <c r="B162" s="62"/>
      <c r="C162" s="62"/>
      <c r="D162" s="62"/>
      <c r="E162" s="62"/>
      <c r="F162" s="62"/>
      <c r="G162" s="62"/>
      <c r="H162" s="62"/>
      <c r="I162" s="62"/>
      <c r="J162" s="62"/>
      <c r="K162" s="62"/>
      <c r="L162" s="62"/>
      <c r="M162" s="62"/>
    </row>
    <row r="163" spans="1:13" ht="12" customHeight="1">
      <c r="A163" s="63" t="s">
        <v>212</v>
      </c>
      <c r="B163" s="62"/>
      <c r="C163" s="62"/>
      <c r="D163" s="62"/>
      <c r="E163" s="62"/>
      <c r="F163" s="62"/>
      <c r="G163" s="62"/>
      <c r="H163" s="62"/>
      <c r="I163" s="62"/>
      <c r="J163" s="62"/>
      <c r="K163" s="62"/>
      <c r="L163" s="62"/>
      <c r="M163" s="62"/>
    </row>
    <row r="164" spans="1:13" ht="12" customHeight="1">
      <c r="A164" s="61" t="s">
        <v>213</v>
      </c>
      <c r="B164" s="62"/>
      <c r="C164" s="62"/>
      <c r="D164" s="62"/>
      <c r="E164" s="62"/>
      <c r="F164" s="62"/>
      <c r="G164" s="62"/>
      <c r="H164" s="62"/>
      <c r="I164" s="62"/>
      <c r="J164" s="62"/>
      <c r="K164" s="62"/>
      <c r="L164" s="62"/>
      <c r="M164" s="62"/>
    </row>
    <row r="165" spans="1:13" ht="12" customHeight="1">
      <c r="A165" s="61" t="s">
        <v>204</v>
      </c>
      <c r="B165" s="62"/>
      <c r="C165" s="62"/>
      <c r="D165" s="62"/>
      <c r="E165" s="62"/>
      <c r="F165" s="62"/>
      <c r="G165" s="62"/>
      <c r="H165" s="62"/>
      <c r="I165" s="62"/>
      <c r="J165" s="62"/>
      <c r="K165" s="62"/>
      <c r="L165" s="62"/>
      <c r="M165" s="62"/>
    </row>
    <row r="166" spans="1:13" ht="12" customHeight="1">
      <c r="A166" s="61" t="s">
        <v>205</v>
      </c>
      <c r="B166" s="62"/>
      <c r="C166" s="62"/>
      <c r="D166" s="62"/>
      <c r="E166" s="62"/>
      <c r="F166" s="62"/>
      <c r="G166" s="62"/>
      <c r="H166" s="62"/>
      <c r="I166" s="62"/>
      <c r="J166" s="62"/>
      <c r="K166" s="62"/>
      <c r="L166" s="62"/>
      <c r="M166" s="62"/>
    </row>
    <row r="167" spans="1:13" ht="12" customHeight="1">
      <c r="A167" s="61" t="s">
        <v>206</v>
      </c>
      <c r="B167" s="62"/>
      <c r="C167" s="62"/>
      <c r="D167" s="62"/>
      <c r="E167" s="62"/>
      <c r="F167" s="62"/>
      <c r="G167" s="62"/>
      <c r="H167" s="62"/>
      <c r="I167" s="62"/>
      <c r="J167" s="62"/>
      <c r="K167" s="62"/>
      <c r="L167" s="62"/>
      <c r="M167" s="62"/>
    </row>
    <row r="168" spans="1:13" ht="12" customHeight="1">
      <c r="A168" s="61" t="s">
        <v>207</v>
      </c>
      <c r="B168" s="62"/>
      <c r="C168" s="62"/>
      <c r="D168" s="62"/>
      <c r="E168" s="62"/>
      <c r="F168" s="62"/>
      <c r="G168" s="62"/>
      <c r="H168" s="62"/>
      <c r="I168" s="62"/>
      <c r="J168" s="62"/>
      <c r="K168" s="62"/>
      <c r="L168" s="62"/>
      <c r="M168" s="62"/>
    </row>
    <row r="169" spans="1:13" ht="12" customHeight="1">
      <c r="A169" s="61" t="s">
        <v>208</v>
      </c>
      <c r="B169" s="62"/>
      <c r="C169" s="62"/>
      <c r="D169" s="62"/>
      <c r="E169" s="62"/>
      <c r="F169" s="62"/>
      <c r="G169" s="62"/>
      <c r="H169" s="62"/>
      <c r="I169" s="62"/>
      <c r="J169" s="62"/>
      <c r="K169" s="62"/>
      <c r="L169" s="62"/>
      <c r="M169" s="62"/>
    </row>
    <row r="170" spans="1:13" ht="12" customHeight="1">
      <c r="A170" s="61" t="s">
        <v>214</v>
      </c>
      <c r="B170" s="62"/>
      <c r="C170" s="62"/>
      <c r="D170" s="62"/>
      <c r="E170" s="62"/>
      <c r="F170" s="62"/>
      <c r="G170" s="62"/>
      <c r="H170" s="62"/>
      <c r="I170" s="62"/>
      <c r="J170" s="62"/>
      <c r="K170" s="62"/>
      <c r="L170" s="62"/>
      <c r="M170" s="62"/>
    </row>
    <row r="171" spans="1:13" ht="12" customHeight="1">
      <c r="A171" s="61" t="s">
        <v>215</v>
      </c>
      <c r="B171" s="62"/>
      <c r="C171" s="62"/>
      <c r="D171" s="62"/>
      <c r="E171" s="62"/>
      <c r="F171" s="62"/>
      <c r="G171" s="62"/>
      <c r="H171" s="62"/>
      <c r="I171" s="62"/>
      <c r="J171" s="62"/>
      <c r="K171" s="62"/>
      <c r="L171" s="62"/>
      <c r="M171" s="62"/>
    </row>
    <row r="172" spans="1:13" ht="12" customHeight="1">
      <c r="A172" s="61" t="s">
        <v>216</v>
      </c>
      <c r="B172" s="62"/>
      <c r="C172" s="62"/>
      <c r="D172" s="62"/>
      <c r="E172" s="62"/>
      <c r="F172" s="62"/>
      <c r="G172" s="62"/>
      <c r="H172" s="62"/>
      <c r="I172" s="62"/>
      <c r="J172" s="62"/>
      <c r="K172" s="62"/>
      <c r="L172" s="62"/>
      <c r="M172" s="62"/>
    </row>
  </sheetData>
  <mergeCells count="3">
    <mergeCell ref="P2:AB2"/>
    <mergeCell ref="P17:AB17"/>
    <mergeCell ref="P32:AB32"/>
  </mergeCells>
  <conditionalFormatting sqref="R4:AB4 Q15:AA15 Q14:Z14 AB14 Q13:Y13 AA13:AB13 Q12:X12 Z12:AB12 Q11:W11 Y11:AB11 Q10:V10 X10:AB10 Q9:U9 W9:AB9 Q8:T8 V8:AB8 Q7:S7 U7:AB7 Q6:R6 T6:AB6 Q5 S5:AB5">
    <cfRule type="colorScale" priority="17">
      <colorScale>
        <cfvo type="min"/>
        <cfvo type="max"/>
        <color rgb="FFFCFCFF"/>
        <color rgb="FFF8696B"/>
      </colorScale>
    </cfRule>
  </conditionalFormatting>
  <conditionalFormatting sqref="Q5:Q15 R6:R15 S7:S15 T8:T15 U9:U15 V10:V15 W11:W15 X12:X15 Y13:Y15 Z14:Z15 AA15">
    <cfRule type="colorScale" priority="16">
      <colorScale>
        <cfvo type="min"/>
        <cfvo type="max"/>
        <color rgb="FFFCFCFF"/>
        <color rgb="FFF8696B"/>
      </colorScale>
    </cfRule>
  </conditionalFormatting>
  <conditionalFormatting sqref="R4:AB4 Q15:AA15 Q14:Z14 AB14 Q13:Y13 AA13:AB13 Q12:X12 Z12:AB12 Q11:W11 Y11:AB11 Q10:V10 X10:AB10 Q9:U9 W9:AB9 Q8:T8 V8:AB8 Q7:S7 U7:AB7 Q6:R6 T6:AB6 Q5 S5:AB5">
    <cfRule type="colorScale" priority="10">
      <colorScale>
        <cfvo type="min"/>
        <cfvo type="max"/>
        <color theme="5" tint="0.59999389629810485"/>
        <color rgb="FFC00000"/>
      </colorScale>
    </cfRule>
  </conditionalFormatting>
  <conditionalFormatting sqref="R4:AB4 Q15:AA15 Q14:Z14 AB14 Q13:Y13 AA13:AB13 Q12:X12 Z12:AB12 Q11:W11 Y11:AB11 Q10:V10 X10:AB10 Q9:U9 W9:AB9 Q8:T8 V8:AB8 Q7:S7 U7:AB7 Q6:R6 T6:AB6 Q5 S5:AB5">
    <cfRule type="colorScale" priority="9">
      <colorScale>
        <cfvo type="min"/>
        <cfvo type="max"/>
        <color theme="0" tint="-4.9989318521683403E-2"/>
        <color rgb="FFC00000"/>
      </colorScale>
    </cfRule>
  </conditionalFormatting>
  <conditionalFormatting sqref="R19:AB19 Q30:AA30 Q29:Z29 AB29 Q28:Y28 AA28:AB28 Q27:X27 Z27:AB27 Q26:W26 Y26:AB26 Q25:V25 X25:AB25 Q24:U24 W24:AB24 Q23:T23 V23:AB23 Q22:S22 U22:AB22 Q21:R21 T21:AB21 Q20 S20:AB20">
    <cfRule type="colorScale" priority="8">
      <colorScale>
        <cfvo type="min"/>
        <cfvo type="max"/>
        <color rgb="FFFCFCFF"/>
        <color rgb="FFF8696B"/>
      </colorScale>
    </cfRule>
  </conditionalFormatting>
  <conditionalFormatting sqref="Q20:Q30 R21:R30 S22:S30 T23:T30 U24:U30 V25:V30 W26:W30 X27:X30 Y28:Y30 Z29:Z30 AA30">
    <cfRule type="colorScale" priority="7">
      <colorScale>
        <cfvo type="min"/>
        <cfvo type="max"/>
        <color rgb="FFFCFCFF"/>
        <color rgb="FFF8696B"/>
      </colorScale>
    </cfRule>
  </conditionalFormatting>
  <conditionalFormatting sqref="R19:AB19 Q30:AA30 Q29:Z29 AB29 Q28:Y28 AA28:AB28 Q27:X27 Z27:AB27 Q26:W26 Y26:AB26 Q25:V25 X25:AB25 Q24:U24 W24:AB24 Q23:T23 V23:AB23 Q22:S22 U22:AB22 Q21:R21 T21:AB21 Q20 S20:AB20">
    <cfRule type="colorScale" priority="6">
      <colorScale>
        <cfvo type="min"/>
        <cfvo type="max"/>
        <color theme="5" tint="0.59999389629810485"/>
        <color rgb="FFC00000"/>
      </colorScale>
    </cfRule>
  </conditionalFormatting>
  <conditionalFormatting sqref="R19:AB19 Q30:AA30 Q29:Z29 AB29 Q28:Y28 AA28:AB28 Q27:X27 Z27:AB27 Q26:W26 Y26:AB26 Q25:V25 X25:AB25 Q24:U24 W24:AB24 Q23:T23 V23:AB23 Q22:S22 U22:AB22 Q21:R21 T21:AB21 Q20 S20:AB20">
    <cfRule type="colorScale" priority="5">
      <colorScale>
        <cfvo type="min"/>
        <cfvo type="max"/>
        <color theme="0" tint="-4.9989318521683403E-2"/>
        <color rgb="FFC00000"/>
      </colorScale>
    </cfRule>
  </conditionalFormatting>
  <conditionalFormatting sqref="R34:AB34 Q45:AA45 Q44:Z44 AB44 Q43:Y43 AA43:AB43 Q42:X42 Z42:AB42 Q41:W41 Y41:AB41 Q40:V40 X40:AB40 Q39:U39 W39:AB39 Q38:T38 V38:AB38 Q37:S37 U37:AB37 Q36:R36 T36:AB36 Q35 S35:AB35">
    <cfRule type="colorScale" priority="4">
      <colorScale>
        <cfvo type="min"/>
        <cfvo type="max"/>
        <color rgb="FFFCFCFF"/>
        <color rgb="FFF8696B"/>
      </colorScale>
    </cfRule>
  </conditionalFormatting>
  <conditionalFormatting sqref="Q35:Q45 R36:R45 S37:S45 T38:T45 U39:U45 V40:V45 W41:W45 X42:X45 Y43:Y45 Z44:Z45 AA45">
    <cfRule type="colorScale" priority="3">
      <colorScale>
        <cfvo type="min"/>
        <cfvo type="max"/>
        <color rgb="FFFCFCFF"/>
        <color rgb="FFF8696B"/>
      </colorScale>
    </cfRule>
  </conditionalFormatting>
  <conditionalFormatting sqref="R34:AB34 Q45:AA45 Q44:Z44 AB44 Q43:Y43 AA43:AB43 Q42:X42 Z42:AB42 Q41:W41 Y41:AB41 Q40:V40 X40:AB40 Q39:U39 W39:AB39 Q38:T38 V38:AB38 Q37:S37 U37:AB37 Q36:R36 T36:AB36 Q35 S35:AB35">
    <cfRule type="colorScale" priority="2">
      <colorScale>
        <cfvo type="min"/>
        <cfvo type="max"/>
        <color theme="5" tint="0.59999389629810485"/>
        <color rgb="FFC00000"/>
      </colorScale>
    </cfRule>
  </conditionalFormatting>
  <conditionalFormatting sqref="R34:AB34 Q45:AA45 Q44:Z44 AB44 Q43:Y43 AA43:AB43 Q42:X42 Z42:AB42 Q41:W41 Y41:AB41 Q40:V40 X40:AB40 Q39:U39 W39:AB39 Q38:T38 V38:AB38 Q37:S37 U37:AB37 Q36:R36 T36:AB36 Q35 S35:AB35">
    <cfRule type="colorScale" priority="1">
      <colorScale>
        <cfvo type="min"/>
        <cfvo type="max"/>
        <color theme="0" tint="-4.9989318521683403E-2"/>
        <color rgb="FFC00000"/>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Table_4.0_Information</vt:lpstr>
      <vt:lpstr>4_1.1b_Codes_List</vt:lpstr>
      <vt:lpstr>4_1.3_Manner</vt:lpstr>
      <vt:lpstr>4_1.4_Other_Codes</vt:lpstr>
      <vt:lpstr>4_1.6_First_Mention</vt:lpstr>
      <vt:lpstr>4_1.7_Primary</vt:lpstr>
      <vt:lpstr>4_1.11_Discharge_Expired</vt:lpstr>
      <vt:lpstr>4_1.9_Any_Mention</vt:lpstr>
      <vt:lpstr>4_2.3_Drug_by_Quarter</vt:lpstr>
      <vt:lpstr>4_2.3_Total</vt:lpstr>
      <vt:lpstr>4_2.3_Graphs-Drug_by_Quarte (2)</vt:lpstr>
      <vt:lpstr>4_2.4a-c_Potential Changes</vt:lpstr>
      <vt:lpstr>4_2.3_Total_Graphs</vt:lpstr>
      <vt:lpstr>4_2.4a-c_Total</vt:lpstr>
      <vt:lpstr>4_2.4a-c_Graphs-Potential Chang</vt:lpstr>
      <vt:lpstr>4_2.4b_multiopioid</vt:lpstr>
      <vt:lpstr>4_2.4a_encounter</vt:lpstr>
      <vt:lpstr>4_2.4a-c_Total_Graphs</vt:lpstr>
      <vt:lpstr>4_2.4c manner</vt:lpstr>
      <vt:lpstr>4_2.5_v2</vt:lpstr>
      <vt:lpstr>4_2.5_</vt:lpstr>
      <vt:lpstr>4_2.5 Viz</vt:lpstr>
      <vt:lpstr>4_3.1 </vt:lpstr>
      <vt:lpstr>4_3.2_GraphPolydrug_1.30states</vt:lpstr>
      <vt:lpstr>Emilia's graphics ideas</vt:lpstr>
      <vt:lpstr>4_1.3_Manner (2)</vt:lpstr>
      <vt:lpstr>4_1.1a</vt:lpstr>
      <vt:lpstr>Sheet1</vt:lpstr>
      <vt:lpstr>4_3.2_Polydrug</vt:lpstr>
      <vt:lpstr>4_3.2_GraphPolydrug</vt:lpstr>
      <vt:lpstr>4_3.2_GraphPolydrug_2</vt:lpstr>
      <vt:lpstr>'4_1.4_Other_Codes'!IDX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2019-03-06T18:49:24Z</dcterms:modified>
</cp:coreProperties>
</file>