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OFHS_New\DPE\Injury Epi\Lauren\"/>
    </mc:Choice>
  </mc:AlternateContent>
  <bookViews>
    <workbookView xWindow="0" yWindow="0" windowWidth="18660" windowHeight="5160" activeTab="1"/>
  </bookViews>
  <sheets>
    <sheet name="Sheet1" sheetId="1" r:id="rId1"/>
    <sheet name="Additional Comparison" sheetId="3" r:id="rId2"/>
    <sheet name="Comorbidity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3" l="1"/>
  <c r="L18" i="3"/>
  <c r="L17" i="3"/>
  <c r="L16" i="3"/>
  <c r="K32" i="1"/>
  <c r="K31" i="1"/>
  <c r="K30" i="1"/>
  <c r="K29" i="1"/>
  <c r="K28" i="1"/>
  <c r="K27" i="1"/>
  <c r="K26" i="1"/>
  <c r="K25" i="1"/>
  <c r="K24" i="1"/>
  <c r="K23" i="1"/>
  <c r="L19" i="1"/>
  <c r="M19" i="1"/>
  <c r="N19" i="1"/>
  <c r="K19" i="1"/>
  <c r="M10" i="3" l="1"/>
  <c r="M11" i="3"/>
  <c r="M9" i="3"/>
  <c r="M8" i="3"/>
  <c r="M7" i="3"/>
  <c r="M6" i="3"/>
  <c r="M5" i="3"/>
  <c r="M17" i="3"/>
  <c r="M18" i="3"/>
  <c r="M19" i="3"/>
  <c r="M20" i="3"/>
  <c r="N20" i="3"/>
  <c r="O20" i="3" s="1"/>
  <c r="M16" i="3"/>
  <c r="L23" i="3"/>
  <c r="M23" i="3" s="1"/>
  <c r="H31" i="3"/>
  <c r="I31" i="3" s="1"/>
  <c r="H30" i="3"/>
  <c r="I30" i="3" s="1"/>
  <c r="H29" i="3"/>
  <c r="I29" i="3" s="1"/>
  <c r="H28" i="3"/>
  <c r="I28" i="3" s="1"/>
  <c r="H27" i="3"/>
  <c r="I27" i="3" s="1"/>
  <c r="H23" i="3"/>
  <c r="I23" i="3" s="1"/>
  <c r="H20" i="3"/>
  <c r="I20" i="3" s="1"/>
  <c r="H19" i="3"/>
  <c r="I19" i="3" s="1"/>
  <c r="H22" i="3"/>
  <c r="I22" i="3" s="1"/>
  <c r="H21" i="3"/>
  <c r="I21" i="3" s="1"/>
  <c r="H18" i="3"/>
  <c r="I18" i="3" s="1"/>
  <c r="H17" i="3"/>
  <c r="I17" i="3" s="1"/>
  <c r="H16" i="3"/>
  <c r="I16" i="3" s="1"/>
  <c r="H11" i="3"/>
  <c r="I11" i="3" s="1"/>
  <c r="H10" i="3"/>
  <c r="I10" i="3" s="1"/>
  <c r="H8" i="3"/>
  <c r="I8" i="3" s="1"/>
  <c r="H6" i="3"/>
  <c r="I6" i="3" s="1"/>
  <c r="H5" i="3"/>
  <c r="I5" i="3" s="1"/>
  <c r="H9" i="3"/>
  <c r="I9" i="3" s="1"/>
  <c r="H7" i="3"/>
  <c r="I7" i="3" s="1"/>
  <c r="H5" i="2"/>
  <c r="I5" i="2" s="1"/>
  <c r="H4" i="2"/>
  <c r="I4" i="2" s="1"/>
  <c r="H8" i="2"/>
  <c r="I8" i="2" s="1"/>
  <c r="H7" i="2"/>
  <c r="I7" i="2" s="1"/>
  <c r="H6" i="2"/>
  <c r="I6" i="2" s="1"/>
  <c r="K33" i="1"/>
  <c r="L33" i="1" s="1"/>
  <c r="G19" i="1"/>
  <c r="G20" i="1" s="1"/>
  <c r="L24" i="1"/>
  <c r="L25" i="1"/>
  <c r="L26" i="1"/>
  <c r="L27" i="1"/>
  <c r="L28" i="1"/>
  <c r="L29" i="1"/>
  <c r="L30" i="1"/>
  <c r="L31" i="1"/>
  <c r="L32" i="1"/>
  <c r="L23" i="1"/>
  <c r="P9" i="1"/>
  <c r="M23" i="1" s="1"/>
  <c r="P19" i="1"/>
  <c r="Q19" i="1" s="1"/>
  <c r="P18" i="1"/>
  <c r="Q18" i="1" s="1"/>
  <c r="P17" i="1"/>
  <c r="Q17" i="1" s="1"/>
  <c r="P16" i="1"/>
  <c r="Q16" i="1" s="1"/>
  <c r="P15" i="1"/>
  <c r="M29" i="1" s="1"/>
  <c r="N29" i="1" s="1"/>
  <c r="P14" i="1"/>
  <c r="Q14" i="1" s="1"/>
  <c r="P13" i="1"/>
  <c r="Q13" i="1" s="1"/>
  <c r="P12" i="1"/>
  <c r="Q12" i="1" s="1"/>
  <c r="P11" i="1"/>
  <c r="Q11" i="1" s="1"/>
  <c r="P10" i="1"/>
  <c r="Q10" i="1" s="1"/>
  <c r="Q9" i="1"/>
  <c r="D20" i="1"/>
  <c r="E20" i="1"/>
  <c r="F20" i="1"/>
  <c r="C20" i="1"/>
  <c r="C14" i="1"/>
  <c r="C15" i="1" s="1"/>
  <c r="G14" i="1"/>
  <c r="G15" i="1" s="1"/>
  <c r="F14" i="1"/>
  <c r="F15" i="1" s="1"/>
  <c r="E14" i="1"/>
  <c r="E15" i="1" s="1"/>
  <c r="D14" i="1"/>
  <c r="D15" i="1" s="1"/>
  <c r="N23" i="1" l="1"/>
  <c r="N11" i="3"/>
  <c r="N10" i="3"/>
  <c r="O10" i="3" s="1"/>
  <c r="N9" i="3"/>
  <c r="O9" i="3" s="1"/>
  <c r="N8" i="3"/>
  <c r="O8" i="3" s="1"/>
  <c r="N7" i="3"/>
  <c r="O7" i="3" s="1"/>
  <c r="N6" i="3"/>
  <c r="O6" i="3" s="1"/>
  <c r="N5" i="3"/>
  <c r="O5" i="3" s="1"/>
  <c r="N23" i="3"/>
  <c r="O23" i="3" s="1"/>
  <c r="N19" i="3"/>
  <c r="O19" i="3" s="1"/>
  <c r="N18" i="3"/>
  <c r="O18" i="3" s="1"/>
  <c r="N17" i="3"/>
  <c r="O17" i="3" s="1"/>
  <c r="N16" i="3"/>
  <c r="O16" i="3" s="1"/>
  <c r="M33" i="1"/>
  <c r="N33" i="1" s="1"/>
  <c r="M32" i="1"/>
  <c r="N32" i="1" s="1"/>
  <c r="M31" i="1"/>
  <c r="N31" i="1" s="1"/>
  <c r="M30" i="1"/>
  <c r="N30" i="1" s="1"/>
  <c r="Q15" i="1"/>
  <c r="M28" i="1"/>
  <c r="N28" i="1" s="1"/>
  <c r="M27" i="1"/>
  <c r="N27" i="1" s="1"/>
  <c r="M26" i="1"/>
  <c r="N26" i="1" s="1"/>
  <c r="M25" i="1"/>
  <c r="N25" i="1" s="1"/>
  <c r="M24" i="1"/>
  <c r="N24" i="1" s="1"/>
  <c r="F21" i="1"/>
  <c r="F22" i="1" s="1"/>
  <c r="E21" i="1"/>
  <c r="E22" i="1" s="1"/>
  <c r="D21" i="1"/>
  <c r="D22" i="1" s="1"/>
  <c r="C21" i="1"/>
  <c r="C22" i="1" s="1"/>
  <c r="G21" i="1"/>
  <c r="G22" i="1" s="1"/>
  <c r="O11" i="3" l="1"/>
</calcChain>
</file>

<file path=xl/sharedStrings.xml><?xml version="1.0" encoding="utf-8"?>
<sst xmlns="http://schemas.openxmlformats.org/spreadsheetml/2006/main" count="151" uniqueCount="63">
  <si>
    <t>Table of subset by DATAYEAR</t>
  </si>
  <si>
    <t>subset</t>
  </si>
  <si>
    <t>DATAYEAR</t>
  </si>
  <si>
    <t>Total</t>
  </si>
  <si>
    <t>A</t>
  </si>
  <si>
    <t>B</t>
  </si>
  <si>
    <t>C</t>
  </si>
  <si>
    <t>Jurisdiction</t>
  </si>
  <si>
    <t>Population</t>
  </si>
  <si>
    <t>Rate Subset A</t>
  </si>
  <si>
    <t>Rate Subset A+B</t>
  </si>
  <si>
    <t>% Increase in Count</t>
  </si>
  <si>
    <t>Subset A+B</t>
  </si>
  <si>
    <t>Comparison of Rates</t>
  </si>
  <si>
    <t>Data by age and subset</t>
  </si>
  <si>
    <t>Data by year and subset</t>
  </si>
  <si>
    <t>Table of CALCAGE by subset</t>
  </si>
  <si>
    <t>15-19</t>
  </si>
  <si>
    <t>20-24</t>
  </si>
  <si>
    <t>25-34</t>
  </si>
  <si>
    <t>35-44</t>
  </si>
  <si>
    <t>45-54</t>
  </si>
  <si>
    <t>55-64</t>
  </si>
  <si>
    <t>65-74</t>
  </si>
  <si>
    <t>75-84</t>
  </si>
  <si>
    <t>&gt;84</t>
  </si>
  <si>
    <t>10-14</t>
  </si>
  <si>
    <t>Age</t>
  </si>
  <si>
    <t>% Increase in Rate</t>
  </si>
  <si>
    <t>Mental/Behavioral/Neurological Disorder</t>
  </si>
  <si>
    <t>Suicidal Ideation</t>
  </si>
  <si>
    <t>History of Self-Harm</t>
  </si>
  <si>
    <t>Drug-Related Disorder</t>
  </si>
  <si>
    <t>Alcohol-Related Disorder</t>
  </si>
  <si>
    <t>Other DX</t>
  </si>
  <si>
    <t>Primary dx for subset B</t>
  </si>
  <si>
    <t>The FREQ Procedure</t>
  </si>
  <si>
    <t>pdxco</t>
  </si>
  <si>
    <t>Frequency</t>
  </si>
  <si>
    <t>Percent</t>
  </si>
  <si>
    <t>Cumulative</t>
  </si>
  <si>
    <t>Urban/
Rural</t>
  </si>
  <si>
    <t>medium metro</t>
  </si>
  <si>
    <t>micropolitan</t>
  </si>
  <si>
    <t>large central metro</t>
  </si>
  <si>
    <t>large fringe metro</t>
  </si>
  <si>
    <t>small metro</t>
  </si>
  <si>
    <t>noncore</t>
  </si>
  <si>
    <t>RACE_ETH</t>
  </si>
  <si>
    <t>White NH</t>
  </si>
  <si>
    <t>Black NH</t>
  </si>
  <si>
    <t>Hispanic</t>
  </si>
  <si>
    <t>Unknown</t>
  </si>
  <si>
    <t>Other NH</t>
  </si>
  <si>
    <t>AI/AN NH</t>
  </si>
  <si>
    <t>Asian NH</t>
  </si>
  <si>
    <t>Means</t>
  </si>
  <si>
    <t>Cutting</t>
  </si>
  <si>
    <t>Poisoning - Drug</t>
  </si>
  <si>
    <t>Poisoning - Non-Drug</t>
  </si>
  <si>
    <t>Other Means</t>
  </si>
  <si>
    <t>Suicide Attempt (unsp)</t>
  </si>
  <si>
    <t xml:space="preserve">Virginia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</si>
</sst>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&quot;$&quot;#,##0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6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</fills>
  <borders count="19">
    <border>
      <left/>
      <right/>
      <top/>
      <bottom/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rgb="FFC00000"/>
      </right>
      <top/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/>
      <bottom/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</borders>
  <cellStyleXfs count="5">
    <xf numFmtId="0" fontId="0" fillId="0" borderId="0"/>
    <xf numFmtId="0" fontId="7" fillId="0" borderId="0"/>
    <xf numFmtId="0" fontId="8" fillId="0" borderId="0"/>
    <xf numFmtId="0" fontId="9" fillId="0" borderId="0"/>
    <xf numFmtId="165" fontId="10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4" xfId="0" applyBorder="1"/>
    <xf numFmtId="49" fontId="2" fillId="0" borderId="3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164" fontId="0" fillId="0" borderId="0" xfId="0" applyNumberFormat="1"/>
    <xf numFmtId="0" fontId="2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2" borderId="0" xfId="0" applyFont="1" applyFill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0" fillId="0" borderId="0" xfId="0" applyAlignment="1"/>
    <xf numFmtId="0" fontId="2" fillId="0" borderId="3" xfId="0" applyFont="1" applyBorder="1" applyAlignment="1">
      <alignment horizontal="center" vertical="top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1" fillId="0" borderId="5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6" xfId="0" applyFill="1" applyBorder="1" applyAlignment="1">
      <alignment wrapText="1"/>
    </xf>
    <xf numFmtId="0" fontId="0" fillId="0" borderId="17" xfId="0" applyFill="1" applyBorder="1" applyAlignment="1">
      <alignment wrapText="1"/>
    </xf>
    <xf numFmtId="0" fontId="0" fillId="0" borderId="18" xfId="0" applyFill="1" applyBorder="1" applyAlignment="1">
      <alignment wrapText="1"/>
    </xf>
    <xf numFmtId="0" fontId="6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/>
    <xf numFmtId="0" fontId="6" fillId="0" borderId="0" xfId="0" applyFont="1" applyBorder="1"/>
    <xf numFmtId="0" fontId="6" fillId="0" borderId="0" xfId="0" applyFont="1" applyBorder="1"/>
  </cellXfs>
  <cellStyles count="5">
    <cellStyle name="Comma 2" xfId="4"/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D2" sqref="D2"/>
    </sheetView>
  </sheetViews>
  <sheetFormatPr defaultRowHeight="15" x14ac:dyDescent="0.25"/>
  <cols>
    <col min="1" max="1" width="11.140625" bestFit="1" customWidth="1"/>
    <col min="2" max="2" width="20.42578125" customWidth="1"/>
    <col min="11" max="11" width="11.5703125" customWidth="1"/>
    <col min="14" max="14" width="10.85546875" customWidth="1"/>
    <col min="16" max="16" width="12.85546875" bestFit="1" customWidth="1"/>
    <col min="17" max="17" width="21.7109375" bestFit="1" customWidth="1"/>
  </cols>
  <sheetData>
    <row r="1" spans="1:17" ht="15.75" thickBot="1" x14ac:dyDescent="0.3"/>
    <row r="2" spans="1:17" ht="15.75" thickBot="1" x14ac:dyDescent="0.3">
      <c r="A2" t="s">
        <v>7</v>
      </c>
      <c r="B2" s="14" t="s">
        <v>62</v>
      </c>
    </row>
    <row r="4" spans="1:17" x14ac:dyDescent="0.25">
      <c r="B4" t="s">
        <v>15</v>
      </c>
      <c r="J4" t="s">
        <v>14</v>
      </c>
    </row>
    <row r="5" spans="1:17" ht="15.75" thickBot="1" x14ac:dyDescent="0.3"/>
    <row r="6" spans="1:17" x14ac:dyDescent="0.25">
      <c r="B6" s="32" t="s">
        <v>0</v>
      </c>
      <c r="C6" s="33"/>
      <c r="D6" s="33"/>
      <c r="E6" s="33"/>
      <c r="F6" s="33"/>
      <c r="G6" s="33"/>
      <c r="J6" s="32" t="s">
        <v>16</v>
      </c>
      <c r="K6" s="33"/>
      <c r="L6" s="33"/>
      <c r="M6" s="33"/>
      <c r="N6" s="33"/>
    </row>
    <row r="7" spans="1:17" x14ac:dyDescent="0.25">
      <c r="B7" s="34" t="s">
        <v>1</v>
      </c>
      <c r="C7" s="35" t="s">
        <v>2</v>
      </c>
      <c r="D7" s="35"/>
      <c r="E7" s="35"/>
      <c r="F7" s="35"/>
      <c r="G7" s="35"/>
      <c r="J7" s="36" t="s">
        <v>27</v>
      </c>
      <c r="K7" s="35" t="s">
        <v>1</v>
      </c>
      <c r="L7" s="35"/>
      <c r="M7" s="35"/>
      <c r="N7" s="35"/>
    </row>
    <row r="8" spans="1:17" ht="15.75" thickBot="1" x14ac:dyDescent="0.3">
      <c r="B8" s="34"/>
      <c r="C8" s="1">
        <v>2016</v>
      </c>
      <c r="D8" s="1">
        <v>2017</v>
      </c>
      <c r="E8" s="1">
        <v>2018</v>
      </c>
      <c r="F8" s="1">
        <v>2019</v>
      </c>
      <c r="G8" s="1" t="s">
        <v>3</v>
      </c>
      <c r="J8" s="36"/>
      <c r="K8" s="1" t="s">
        <v>4</v>
      </c>
      <c r="L8" s="1" t="s">
        <v>5</v>
      </c>
      <c r="M8" s="1" t="s">
        <v>6</v>
      </c>
      <c r="N8" s="1" t="s">
        <v>3</v>
      </c>
      <c r="P8" s="16" t="s">
        <v>12</v>
      </c>
      <c r="Q8" s="16" t="s">
        <v>11</v>
      </c>
    </row>
    <row r="9" spans="1:17" x14ac:dyDescent="0.25">
      <c r="B9" s="2" t="s">
        <v>4</v>
      </c>
      <c r="C9" s="5">
        <v>3231</v>
      </c>
      <c r="D9" s="6">
        <v>3206</v>
      </c>
      <c r="E9" s="6">
        <v>2932</v>
      </c>
      <c r="F9" s="6">
        <v>2898</v>
      </c>
      <c r="G9" s="7">
        <v>12267</v>
      </c>
      <c r="J9" s="15" t="s">
        <v>26</v>
      </c>
      <c r="K9" s="3">
        <v>445</v>
      </c>
      <c r="L9" s="3">
        <v>628</v>
      </c>
      <c r="M9" s="3">
        <v>129</v>
      </c>
      <c r="N9" s="3">
        <v>1202</v>
      </c>
      <c r="P9">
        <f>SUM(K9:L9)</f>
        <v>1073</v>
      </c>
      <c r="Q9" s="17">
        <f>(P9-K9)/K9*100</f>
        <v>141.12359550561797</v>
      </c>
    </row>
    <row r="10" spans="1:17" x14ac:dyDescent="0.25">
      <c r="B10" s="2" t="s">
        <v>5</v>
      </c>
      <c r="C10" s="8">
        <v>1830</v>
      </c>
      <c r="D10" s="9">
        <v>2043</v>
      </c>
      <c r="E10" s="9">
        <v>2238</v>
      </c>
      <c r="F10" s="9">
        <v>2735</v>
      </c>
      <c r="G10" s="10">
        <v>8846</v>
      </c>
      <c r="J10" s="2" t="s">
        <v>17</v>
      </c>
      <c r="K10" s="3">
        <v>1740</v>
      </c>
      <c r="L10" s="3">
        <v>1704</v>
      </c>
      <c r="M10" s="3">
        <v>289</v>
      </c>
      <c r="N10" s="3">
        <v>3733</v>
      </c>
      <c r="P10">
        <f t="shared" ref="P10:P19" si="0">SUM(K10:L10)</f>
        <v>3444</v>
      </c>
      <c r="Q10" s="17">
        <f t="shared" ref="Q10:Q19" si="1">(P10-K10)/K10*100</f>
        <v>97.931034482758619</v>
      </c>
    </row>
    <row r="11" spans="1:17" x14ac:dyDescent="0.25">
      <c r="B11" s="2" t="s">
        <v>6</v>
      </c>
      <c r="C11" s="8">
        <v>309</v>
      </c>
      <c r="D11" s="9">
        <v>455</v>
      </c>
      <c r="E11" s="9">
        <v>364</v>
      </c>
      <c r="F11" s="9">
        <v>247</v>
      </c>
      <c r="G11" s="10">
        <v>969</v>
      </c>
      <c r="J11" s="2" t="s">
        <v>18</v>
      </c>
      <c r="K11" s="3">
        <v>1312</v>
      </c>
      <c r="L11" s="3">
        <v>1292</v>
      </c>
      <c r="M11" s="3">
        <v>174</v>
      </c>
      <c r="N11" s="3">
        <v>2778</v>
      </c>
      <c r="P11">
        <f t="shared" si="0"/>
        <v>2604</v>
      </c>
      <c r="Q11" s="17">
        <f t="shared" si="1"/>
        <v>98.475609756097555</v>
      </c>
    </row>
    <row r="12" spans="1:17" ht="15.75" thickBot="1" x14ac:dyDescent="0.3">
      <c r="B12" s="2" t="s">
        <v>3</v>
      </c>
      <c r="C12" s="11">
        <v>5370</v>
      </c>
      <c r="D12" s="12">
        <v>5704</v>
      </c>
      <c r="E12" s="12">
        <v>5534</v>
      </c>
      <c r="F12" s="12">
        <v>5880</v>
      </c>
      <c r="G12" s="13">
        <v>22488</v>
      </c>
      <c r="J12" s="2" t="s">
        <v>19</v>
      </c>
      <c r="K12" s="3">
        <v>2334</v>
      </c>
      <c r="L12" s="3">
        <v>1776</v>
      </c>
      <c r="M12" s="3">
        <v>214</v>
      </c>
      <c r="N12" s="3">
        <v>4324</v>
      </c>
      <c r="P12">
        <f t="shared" si="0"/>
        <v>4110</v>
      </c>
      <c r="Q12" s="17">
        <f t="shared" si="1"/>
        <v>76.092544987146525</v>
      </c>
    </row>
    <row r="13" spans="1:17" x14ac:dyDescent="0.25">
      <c r="J13" s="2" t="s">
        <v>20</v>
      </c>
      <c r="K13" s="3">
        <v>2229</v>
      </c>
      <c r="L13" s="3">
        <v>1298</v>
      </c>
      <c r="M13" s="3">
        <v>196</v>
      </c>
      <c r="N13" s="3">
        <v>3723</v>
      </c>
      <c r="P13">
        <f t="shared" si="0"/>
        <v>3527</v>
      </c>
      <c r="Q13" s="17">
        <f t="shared" si="1"/>
        <v>58.232391206819202</v>
      </c>
    </row>
    <row r="14" spans="1:17" x14ac:dyDescent="0.25">
      <c r="B14" s="1" t="s">
        <v>12</v>
      </c>
      <c r="C14">
        <f>SUM(C9:C10)</f>
        <v>5061</v>
      </c>
      <c r="D14">
        <f t="shared" ref="D14:G14" si="2">SUM(D9:D10)</f>
        <v>5249</v>
      </c>
      <c r="E14">
        <f t="shared" si="2"/>
        <v>5170</v>
      </c>
      <c r="F14">
        <f t="shared" si="2"/>
        <v>5633</v>
      </c>
      <c r="G14">
        <f t="shared" si="2"/>
        <v>21113</v>
      </c>
      <c r="J14" s="2" t="s">
        <v>21</v>
      </c>
      <c r="K14" s="3">
        <v>2086</v>
      </c>
      <c r="L14" s="3">
        <v>1025</v>
      </c>
      <c r="M14" s="3">
        <v>181</v>
      </c>
      <c r="N14" s="3">
        <v>3292</v>
      </c>
      <c r="P14">
        <f t="shared" si="0"/>
        <v>3111</v>
      </c>
      <c r="Q14" s="17">
        <f t="shared" si="1"/>
        <v>49.137104506232021</v>
      </c>
    </row>
    <row r="15" spans="1:17" ht="30" x14ac:dyDescent="0.25">
      <c r="B15" s="1" t="s">
        <v>11</v>
      </c>
      <c r="C15">
        <f>(C14-C9)/C9*100</f>
        <v>56.638811513463324</v>
      </c>
      <c r="D15">
        <f>(D14-D9)/D9*100</f>
        <v>63.724266999376169</v>
      </c>
      <c r="E15">
        <f>(E14-E9)/E9*100</f>
        <v>76.330150068212816</v>
      </c>
      <c r="F15">
        <f>(F14-F9)/F9*100</f>
        <v>94.375431331953081</v>
      </c>
      <c r="G15">
        <f>(G14-G9)/G9*100</f>
        <v>72.112170864922149</v>
      </c>
      <c r="J15" s="2" t="s">
        <v>22</v>
      </c>
      <c r="K15" s="3">
        <v>1385</v>
      </c>
      <c r="L15" s="3">
        <v>752</v>
      </c>
      <c r="M15" s="3">
        <v>119</v>
      </c>
      <c r="N15" s="3">
        <v>2256</v>
      </c>
      <c r="P15">
        <f t="shared" si="0"/>
        <v>2137</v>
      </c>
      <c r="Q15" s="17">
        <f t="shared" si="1"/>
        <v>54.29602888086643</v>
      </c>
    </row>
    <row r="16" spans="1:17" x14ac:dyDescent="0.25">
      <c r="J16" s="2" t="s">
        <v>23</v>
      </c>
      <c r="K16" s="3">
        <v>488</v>
      </c>
      <c r="L16" s="3">
        <v>232</v>
      </c>
      <c r="M16" s="3">
        <v>50</v>
      </c>
      <c r="N16" s="3">
        <v>770</v>
      </c>
      <c r="P16">
        <f t="shared" si="0"/>
        <v>720</v>
      </c>
      <c r="Q16" s="17">
        <f t="shared" si="1"/>
        <v>47.540983606557376</v>
      </c>
    </row>
    <row r="17" spans="2:17" x14ac:dyDescent="0.25">
      <c r="B17" t="s">
        <v>13</v>
      </c>
      <c r="J17" s="2" t="s">
        <v>24</v>
      </c>
      <c r="K17" s="3">
        <v>187</v>
      </c>
      <c r="L17" s="3">
        <v>94</v>
      </c>
      <c r="M17" s="3">
        <v>18</v>
      </c>
      <c r="N17" s="3">
        <v>299</v>
      </c>
      <c r="P17">
        <f t="shared" si="0"/>
        <v>281</v>
      </c>
      <c r="Q17" s="17">
        <f t="shared" si="1"/>
        <v>50.267379679144383</v>
      </c>
    </row>
    <row r="18" spans="2:17" ht="15.75" thickBot="1" x14ac:dyDescent="0.3">
      <c r="C18" s="1">
        <v>2016</v>
      </c>
      <c r="D18" s="1">
        <v>2017</v>
      </c>
      <c r="E18" s="1">
        <v>2018</v>
      </c>
      <c r="F18" s="1">
        <v>2019</v>
      </c>
      <c r="G18" s="1" t="s">
        <v>3</v>
      </c>
      <c r="J18" s="2" t="s">
        <v>25</v>
      </c>
      <c r="K18" s="3">
        <v>56</v>
      </c>
      <c r="L18" s="3">
        <v>31</v>
      </c>
      <c r="M18" s="3">
        <v>4</v>
      </c>
      <c r="N18" s="3">
        <v>91</v>
      </c>
      <c r="P18">
        <f t="shared" si="0"/>
        <v>87</v>
      </c>
      <c r="Q18" s="17">
        <f t="shared" si="1"/>
        <v>55.357142857142861</v>
      </c>
    </row>
    <row r="19" spans="2:17" ht="15.75" thickBot="1" x14ac:dyDescent="0.3">
      <c r="B19" s="4" t="s">
        <v>8</v>
      </c>
      <c r="C19" s="43">
        <v>8411808</v>
      </c>
      <c r="D19" s="44">
        <v>8470020</v>
      </c>
      <c r="E19" s="44">
        <v>8517685</v>
      </c>
      <c r="F19" s="44">
        <v>8535519</v>
      </c>
      <c r="G19" s="45">
        <f>SUM(C19:F19)</f>
        <v>33935032</v>
      </c>
      <c r="J19" s="2" t="s">
        <v>3</v>
      </c>
      <c r="K19" s="3">
        <f>SUM(K9:K18)</f>
        <v>12262</v>
      </c>
      <c r="L19" s="3">
        <f t="shared" ref="L19:N19" si="3">SUM(L9:L18)</f>
        <v>8832</v>
      </c>
      <c r="M19" s="3">
        <f t="shared" si="3"/>
        <v>1374</v>
      </c>
      <c r="N19" s="3">
        <f t="shared" si="3"/>
        <v>22468</v>
      </c>
      <c r="P19">
        <f t="shared" si="0"/>
        <v>21094</v>
      </c>
      <c r="Q19" s="17">
        <f t="shared" si="1"/>
        <v>72.027401728918605</v>
      </c>
    </row>
    <row r="20" spans="2:17" x14ac:dyDescent="0.25">
      <c r="B20" s="4" t="s">
        <v>9</v>
      </c>
      <c r="C20">
        <f>C9/C19*100000</f>
        <v>38.410291818358196</v>
      </c>
      <c r="D20">
        <f>D9/D19*100000</f>
        <v>37.851150292443229</v>
      </c>
      <c r="E20">
        <f>E9/E19*100000</f>
        <v>34.422498601439237</v>
      </c>
      <c r="F20">
        <f>F9/F19*100000</f>
        <v>33.952241216966421</v>
      </c>
      <c r="G20">
        <f>G9/G19*100000</f>
        <v>36.148485140665258</v>
      </c>
    </row>
    <row r="21" spans="2:17" x14ac:dyDescent="0.25">
      <c r="B21" s="4" t="s">
        <v>10</v>
      </c>
      <c r="C21">
        <f>C14/C19*100000</f>
        <v>60.165424603129317</v>
      </c>
      <c r="D21">
        <f t="shared" ref="D21:G21" si="4">D14/D19*100000</f>
        <v>61.971518367134905</v>
      </c>
      <c r="E21">
        <f t="shared" si="4"/>
        <v>60.697243441146277</v>
      </c>
      <c r="F21">
        <f t="shared" si="4"/>
        <v>65.994815312343633</v>
      </c>
      <c r="G21">
        <f t="shared" si="4"/>
        <v>62.215942510382781</v>
      </c>
      <c r="J21" t="s">
        <v>13</v>
      </c>
    </row>
    <row r="22" spans="2:17" ht="45.75" thickBot="1" x14ac:dyDescent="0.3">
      <c r="B22" s="4" t="s">
        <v>28</v>
      </c>
      <c r="C22">
        <f>(C21-C20)/C20*100</f>
        <v>56.638811513463317</v>
      </c>
      <c r="D22">
        <f t="shared" ref="D22:G22" si="5">(D21-D20)/D20*100</f>
        <v>63.724266999376169</v>
      </c>
      <c r="E22">
        <f t="shared" si="5"/>
        <v>76.330150068212859</v>
      </c>
      <c r="F22">
        <f t="shared" si="5"/>
        <v>94.375431331953081</v>
      </c>
      <c r="G22">
        <f t="shared" si="5"/>
        <v>72.112170864922149</v>
      </c>
      <c r="K22" s="4" t="s">
        <v>8</v>
      </c>
      <c r="L22" s="4" t="s">
        <v>9</v>
      </c>
      <c r="M22" s="4" t="s">
        <v>10</v>
      </c>
      <c r="N22" s="4" t="s">
        <v>28</v>
      </c>
    </row>
    <row r="23" spans="2:17" x14ac:dyDescent="0.25">
      <c r="J23" s="15" t="s">
        <v>26</v>
      </c>
      <c r="K23" s="46">
        <f>(522183+524468+528362+525235)</f>
        <v>2100248</v>
      </c>
      <c r="L23">
        <f>K9/K23*100000</f>
        <v>21.187973991642892</v>
      </c>
      <c r="M23">
        <f>P9/K23*100000</f>
        <v>51.089204703444544</v>
      </c>
      <c r="N23">
        <f>(M23-L23)/L23*100</f>
        <v>141.12359550561797</v>
      </c>
    </row>
    <row r="24" spans="2:17" x14ac:dyDescent="0.25">
      <c r="J24" s="2" t="s">
        <v>17</v>
      </c>
      <c r="K24" s="47">
        <f>(540789+539939+542284+541828)</f>
        <v>2164840</v>
      </c>
      <c r="L24">
        <f t="shared" ref="L24:L33" si="6">K10/K24*100000</f>
        <v>80.375454998983756</v>
      </c>
      <c r="M24">
        <f t="shared" ref="M24:M33" si="7">P10/K24*100000</f>
        <v>159.08796954971268</v>
      </c>
      <c r="N24">
        <f t="shared" ref="N24:N33" si="8">(M24-L24)/L24*100</f>
        <v>97.931034482758633</v>
      </c>
    </row>
    <row r="25" spans="2:17" x14ac:dyDescent="0.25">
      <c r="J25" s="2" t="s">
        <v>18</v>
      </c>
      <c r="K25" s="47">
        <f>(589801+584586+578812+571619)</f>
        <v>2324818</v>
      </c>
      <c r="L25">
        <f t="shared" si="6"/>
        <v>56.43452519724125</v>
      </c>
      <c r="M25">
        <f t="shared" si="7"/>
        <v>112.00876799818309</v>
      </c>
      <c r="N25">
        <f t="shared" si="8"/>
        <v>98.475609756097555</v>
      </c>
    </row>
    <row r="26" spans="2:17" x14ac:dyDescent="0.25">
      <c r="J26" s="2" t="s">
        <v>19</v>
      </c>
      <c r="K26" s="47">
        <f>(1172060+1185270+1190306+1190381)</f>
        <v>4738017</v>
      </c>
      <c r="L26">
        <f t="shared" si="6"/>
        <v>49.261114934792339</v>
      </c>
      <c r="M26">
        <f t="shared" si="7"/>
        <v>86.745150977719163</v>
      </c>
      <c r="N26">
        <f t="shared" si="8"/>
        <v>76.092544987146539</v>
      </c>
    </row>
    <row r="27" spans="2:17" x14ac:dyDescent="0.25">
      <c r="J27" s="2" t="s">
        <v>20</v>
      </c>
      <c r="K27" s="47">
        <f>(1085925+1093732+1104883+1112496)</f>
        <v>4397036</v>
      </c>
      <c r="L27">
        <f t="shared" si="6"/>
        <v>50.693239718755997</v>
      </c>
      <c r="M27">
        <f t="shared" si="7"/>
        <v>80.213125387192648</v>
      </c>
      <c r="N27">
        <f t="shared" si="8"/>
        <v>58.232391206819209</v>
      </c>
    </row>
    <row r="28" spans="2:17" x14ac:dyDescent="0.25">
      <c r="J28" s="2" t="s">
        <v>21</v>
      </c>
      <c r="K28" s="47">
        <f>(1162384+1149003+1125384+1100274)</f>
        <v>4537045</v>
      </c>
      <c r="L28">
        <f t="shared" si="6"/>
        <v>45.977062162707227</v>
      </c>
      <c r="M28">
        <f t="shared" si="7"/>
        <v>68.568859246491925</v>
      </c>
      <c r="N28">
        <f t="shared" si="8"/>
        <v>49.137104506231992</v>
      </c>
    </row>
    <row r="29" spans="2:17" x14ac:dyDescent="0.25">
      <c r="J29" s="2" t="s">
        <v>22</v>
      </c>
      <c r="K29" s="47">
        <f>(1080365+1096476+1106872+1114417)</f>
        <v>4398130</v>
      </c>
      <c r="L29">
        <f t="shared" si="6"/>
        <v>31.490656256181602</v>
      </c>
      <c r="M29">
        <f t="shared" si="7"/>
        <v>48.588832071812334</v>
      </c>
      <c r="N29">
        <f t="shared" si="8"/>
        <v>54.296028880866423</v>
      </c>
    </row>
    <row r="30" spans="2:17" x14ac:dyDescent="0.25">
      <c r="J30" s="2" t="s">
        <v>23</v>
      </c>
      <c r="K30" s="47">
        <f>(734524+759518+779038+802291)</f>
        <v>3075371</v>
      </c>
      <c r="L30">
        <f t="shared" si="6"/>
        <v>15.868004218027679</v>
      </c>
      <c r="M30">
        <f t="shared" si="7"/>
        <v>23.411809502008047</v>
      </c>
      <c r="N30">
        <f t="shared" si="8"/>
        <v>47.540983606557354</v>
      </c>
    </row>
    <row r="31" spans="2:17" x14ac:dyDescent="0.25">
      <c r="J31" s="2" t="s">
        <v>24</v>
      </c>
      <c r="K31" s="47">
        <f>(348893+363376+384471+402130)</f>
        <v>1498870</v>
      </c>
      <c r="L31">
        <f t="shared" si="6"/>
        <v>12.476065302527905</v>
      </c>
      <c r="M31">
        <f t="shared" si="7"/>
        <v>18.747456417167598</v>
      </c>
      <c r="N31">
        <f t="shared" si="8"/>
        <v>50.267379679144362</v>
      </c>
    </row>
    <row r="32" spans="2:17" x14ac:dyDescent="0.25">
      <c r="J32" s="2" t="s">
        <v>25</v>
      </c>
      <c r="K32" s="47">
        <f>(145327+148534+151892+154485)</f>
        <v>600238</v>
      </c>
      <c r="L32">
        <f t="shared" si="6"/>
        <v>9.3296325790769661</v>
      </c>
      <c r="M32">
        <f t="shared" si="7"/>
        <v>14.494250613923144</v>
      </c>
      <c r="N32">
        <f t="shared" si="8"/>
        <v>55.357142857142861</v>
      </c>
    </row>
    <row r="33" spans="10:14" ht="15.75" thickBot="1" x14ac:dyDescent="0.3">
      <c r="J33" s="2" t="s">
        <v>3</v>
      </c>
      <c r="K33" s="48">
        <f>SUM(K23:K32)</f>
        <v>29834613</v>
      </c>
      <c r="L33">
        <f t="shared" si="6"/>
        <v>41.099913043953343</v>
      </c>
      <c r="M33">
        <f t="shared" si="7"/>
        <v>70.703112522357841</v>
      </c>
      <c r="N33">
        <f t="shared" si="8"/>
        <v>72.027401728918619</v>
      </c>
    </row>
  </sheetData>
  <mergeCells count="6">
    <mergeCell ref="B6:G6"/>
    <mergeCell ref="B7:B8"/>
    <mergeCell ref="C7:G7"/>
    <mergeCell ref="J6:N6"/>
    <mergeCell ref="J7:J8"/>
    <mergeCell ref="K7:N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31"/>
  <sheetViews>
    <sheetView tabSelected="1" topLeftCell="A13" workbookViewId="0">
      <selection activeCell="B18" sqref="B18"/>
    </sheetView>
  </sheetViews>
  <sheetFormatPr defaultRowHeight="15" x14ac:dyDescent="0.25"/>
  <cols>
    <col min="2" max="2" width="24.28515625" style="28" bestFit="1" customWidth="1"/>
    <col min="8" max="8" width="12.85546875" bestFit="1" customWidth="1"/>
    <col min="9" max="9" width="21.7109375" bestFit="1" customWidth="1"/>
    <col min="11" max="11" width="20.42578125" bestFit="1" customWidth="1"/>
    <col min="12" max="12" width="12.42578125" style="30" customWidth="1"/>
    <col min="13" max="14" width="11.5703125" style="30" bestFit="1" customWidth="1"/>
    <col min="15" max="15" width="12.7109375" style="30" customWidth="1"/>
  </cols>
  <sheetData>
    <row r="3" spans="2:15" x14ac:dyDescent="0.25">
      <c r="B3" s="37" t="s">
        <v>41</v>
      </c>
      <c r="C3" s="35" t="s">
        <v>1</v>
      </c>
      <c r="D3" s="35"/>
      <c r="E3" s="35"/>
      <c r="F3" s="35"/>
      <c r="K3" t="s">
        <v>13</v>
      </c>
    </row>
    <row r="4" spans="2:15" ht="45" x14ac:dyDescent="0.25">
      <c r="B4" s="37"/>
      <c r="C4" s="18" t="s">
        <v>4</v>
      </c>
      <c r="D4" s="18" t="s">
        <v>5</v>
      </c>
      <c r="E4" s="18" t="s">
        <v>6</v>
      </c>
      <c r="F4" s="18" t="s">
        <v>3</v>
      </c>
      <c r="H4" s="16" t="s">
        <v>12</v>
      </c>
      <c r="I4" s="16" t="s">
        <v>11</v>
      </c>
      <c r="L4" s="4" t="s">
        <v>8</v>
      </c>
      <c r="M4" s="4" t="s">
        <v>9</v>
      </c>
      <c r="N4" s="4" t="s">
        <v>10</v>
      </c>
      <c r="O4" s="4" t="s">
        <v>28</v>
      </c>
    </row>
    <row r="5" spans="2:15" x14ac:dyDescent="0.25">
      <c r="B5" s="29" t="s">
        <v>44</v>
      </c>
      <c r="C5" s="42">
        <v>2003</v>
      </c>
      <c r="D5" s="42">
        <v>1125</v>
      </c>
      <c r="E5" s="42">
        <v>231</v>
      </c>
      <c r="F5" s="42">
        <v>3359</v>
      </c>
      <c r="H5">
        <f>SUM(C5:D5)</f>
        <v>3128</v>
      </c>
      <c r="I5" s="17">
        <f>(H5-C5)/C5*100</f>
        <v>56.165751372940584</v>
      </c>
      <c r="K5" s="29" t="s">
        <v>44</v>
      </c>
      <c r="L5" s="54">
        <v>5270858</v>
      </c>
      <c r="M5" s="31">
        <f>C5/L5*100000</f>
        <v>38.001403187109197</v>
      </c>
      <c r="N5" s="31">
        <f>H5/L5*100000</f>
        <v>59.345176819409673</v>
      </c>
      <c r="O5" s="31">
        <f>(N5-M5)/M5*100</f>
        <v>56.165751372940598</v>
      </c>
    </row>
    <row r="6" spans="2:15" x14ac:dyDescent="0.25">
      <c r="B6" s="29" t="s">
        <v>45</v>
      </c>
      <c r="C6" s="42">
        <v>5569</v>
      </c>
      <c r="D6" s="42">
        <v>4463</v>
      </c>
      <c r="E6" s="42">
        <v>520</v>
      </c>
      <c r="F6" s="42">
        <v>10552</v>
      </c>
      <c r="H6">
        <f>SUM(C6:D6)</f>
        <v>10032</v>
      </c>
      <c r="I6" s="17">
        <f>(H6-C6)/C6*100</f>
        <v>80.140061052253543</v>
      </c>
      <c r="K6" s="29" t="s">
        <v>45</v>
      </c>
      <c r="L6" s="52">
        <v>18328965</v>
      </c>
      <c r="M6" s="31">
        <f t="shared" ref="M6:M9" si="0">C6/L6*100000</f>
        <v>30.383603220367323</v>
      </c>
      <c r="N6" s="31">
        <f t="shared" ref="N6:N9" si="1">H6/L6*100000</f>
        <v>54.733041391044182</v>
      </c>
      <c r="O6" s="31">
        <f t="shared" ref="O6:O9" si="2">(N6-M6)/M6*100</f>
        <v>80.140061052253586</v>
      </c>
    </row>
    <row r="7" spans="2:15" x14ac:dyDescent="0.25">
      <c r="B7" s="29" t="s">
        <v>42</v>
      </c>
      <c r="C7" s="42">
        <v>1431</v>
      </c>
      <c r="D7" s="42">
        <v>1170</v>
      </c>
      <c r="E7" s="42">
        <v>252</v>
      </c>
      <c r="F7" s="42">
        <v>2853</v>
      </c>
      <c r="H7">
        <f>SUM(C7:D7)</f>
        <v>2601</v>
      </c>
      <c r="I7" s="17">
        <f>(H7-C7)/C7*100</f>
        <v>81.761006289308185</v>
      </c>
      <c r="K7" s="29" t="s">
        <v>42</v>
      </c>
      <c r="L7" s="53">
        <v>2673056</v>
      </c>
      <c r="M7" s="31">
        <f t="shared" si="0"/>
        <v>53.534231980175505</v>
      </c>
      <c r="N7" s="31">
        <f t="shared" si="1"/>
        <v>97.304358756419617</v>
      </c>
      <c r="O7" s="31">
        <f t="shared" si="2"/>
        <v>81.761006289308156</v>
      </c>
    </row>
    <row r="8" spans="2:15" x14ac:dyDescent="0.25">
      <c r="B8" s="29" t="s">
        <v>46</v>
      </c>
      <c r="C8" s="42">
        <v>1452</v>
      </c>
      <c r="D8" s="42">
        <v>1053</v>
      </c>
      <c r="E8" s="42">
        <v>171</v>
      </c>
      <c r="F8" s="42">
        <v>2676</v>
      </c>
      <c r="H8">
        <f>SUM(C8:D8)</f>
        <v>2505</v>
      </c>
      <c r="I8" s="17">
        <f>(H8-C8)/C8*100</f>
        <v>72.52066115702479</v>
      </c>
      <c r="K8" s="29" t="s">
        <v>46</v>
      </c>
      <c r="L8" s="57">
        <v>3160521</v>
      </c>
      <c r="M8" s="31">
        <f t="shared" si="0"/>
        <v>45.941792508260505</v>
      </c>
      <c r="N8" s="31">
        <f t="shared" si="1"/>
        <v>79.259084182639512</v>
      </c>
      <c r="O8" s="31">
        <f t="shared" si="2"/>
        <v>72.520661157024804</v>
      </c>
    </row>
    <row r="9" spans="2:15" x14ac:dyDescent="0.25">
      <c r="B9" s="29" t="s">
        <v>43</v>
      </c>
      <c r="C9" s="42">
        <v>549</v>
      </c>
      <c r="D9" s="42">
        <v>271</v>
      </c>
      <c r="E9" s="42">
        <v>47</v>
      </c>
      <c r="F9" s="42">
        <v>867</v>
      </c>
      <c r="H9">
        <f t="shared" ref="H9:H11" si="3">SUM(C9:D9)</f>
        <v>820</v>
      </c>
      <c r="I9" s="17">
        <f t="shared" ref="I9:I11" si="4">(H9-C9)/C9*100</f>
        <v>49.362477231329684</v>
      </c>
      <c r="K9" s="29" t="s">
        <v>43</v>
      </c>
      <c r="L9" s="55">
        <v>1058704</v>
      </c>
      <c r="M9" s="31">
        <f t="shared" si="0"/>
        <v>51.855853949734772</v>
      </c>
      <c r="N9" s="31">
        <f t="shared" si="1"/>
        <v>77.453188048784185</v>
      </c>
      <c r="O9" s="31">
        <f t="shared" si="2"/>
        <v>49.362477231329706</v>
      </c>
    </row>
    <row r="10" spans="2:15" x14ac:dyDescent="0.25">
      <c r="B10" s="29" t="s">
        <v>47</v>
      </c>
      <c r="C10" s="42">
        <v>1263</v>
      </c>
      <c r="D10" s="42">
        <v>764</v>
      </c>
      <c r="E10" s="42">
        <v>154</v>
      </c>
      <c r="F10" s="42">
        <v>2181</v>
      </c>
      <c r="H10">
        <f t="shared" si="3"/>
        <v>2027</v>
      </c>
      <c r="I10" s="17">
        <f t="shared" si="4"/>
        <v>60.490894695170226</v>
      </c>
      <c r="K10" s="29" t="s">
        <v>47</v>
      </c>
      <c r="L10" s="56">
        <v>2985476</v>
      </c>
      <c r="M10" s="31">
        <f t="shared" ref="M10" si="5">C10/L10*100000</f>
        <v>42.304811695019488</v>
      </c>
      <c r="N10" s="31">
        <f t="shared" ref="N10" si="6">H10/L10*100000</f>
        <v>67.895370788443785</v>
      </c>
      <c r="O10" s="31">
        <f t="shared" ref="O10" si="7">(N10-M10)/M10*100</f>
        <v>60.490894695170226</v>
      </c>
    </row>
    <row r="11" spans="2:15" ht="15.75" thickBot="1" x14ac:dyDescent="0.3">
      <c r="B11" s="29" t="s">
        <v>3</v>
      </c>
      <c r="C11" s="42">
        <v>12267</v>
      </c>
      <c r="D11" s="42">
        <v>8846</v>
      </c>
      <c r="E11" s="42">
        <v>1375</v>
      </c>
      <c r="F11" s="42">
        <v>22488</v>
      </c>
      <c r="H11">
        <f t="shared" si="3"/>
        <v>21113</v>
      </c>
      <c r="I11" s="17">
        <f t="shared" si="4"/>
        <v>72.112170864922149</v>
      </c>
      <c r="K11" s="19" t="s">
        <v>3</v>
      </c>
      <c r="L11" s="51">
        <f>SUM(L5:L10)</f>
        <v>33477580</v>
      </c>
      <c r="M11" s="31">
        <f>C11/L11*100000</f>
        <v>36.642433533128738</v>
      </c>
      <c r="N11" s="31">
        <f>H11/L11*100000</f>
        <v>63.066087811604064</v>
      </c>
      <c r="O11" s="31">
        <f t="shared" ref="O11" si="8">(N11-M11)/M11*100</f>
        <v>72.112170864922149</v>
      </c>
    </row>
    <row r="14" spans="2:15" x14ac:dyDescent="0.25">
      <c r="B14" s="37" t="s">
        <v>48</v>
      </c>
      <c r="C14" s="35" t="s">
        <v>1</v>
      </c>
      <c r="D14" s="35"/>
      <c r="E14" s="35"/>
      <c r="F14" s="35"/>
      <c r="K14" t="s">
        <v>13</v>
      </c>
    </row>
    <row r="15" spans="2:15" ht="45.75" thickBot="1" x14ac:dyDescent="0.3">
      <c r="B15" s="37"/>
      <c r="C15" s="18" t="s">
        <v>4</v>
      </c>
      <c r="D15" s="18" t="s">
        <v>5</v>
      </c>
      <c r="E15" s="18" t="s">
        <v>6</v>
      </c>
      <c r="F15" s="18" t="s">
        <v>3</v>
      </c>
      <c r="H15" s="16" t="s">
        <v>12</v>
      </c>
      <c r="I15" s="16" t="s">
        <v>11</v>
      </c>
      <c r="L15" s="4" t="s">
        <v>8</v>
      </c>
      <c r="M15" s="4" t="s">
        <v>9</v>
      </c>
      <c r="N15" s="4" t="s">
        <v>10</v>
      </c>
      <c r="O15" s="4" t="s">
        <v>28</v>
      </c>
    </row>
    <row r="16" spans="2:15" x14ac:dyDescent="0.25">
      <c r="B16" s="29" t="s">
        <v>49</v>
      </c>
      <c r="C16" s="3">
        <v>8878</v>
      </c>
      <c r="D16" s="3">
        <v>6126</v>
      </c>
      <c r="E16" s="3">
        <v>958</v>
      </c>
      <c r="F16" s="3">
        <v>15962</v>
      </c>
      <c r="H16">
        <f>SUM(C16:D16)</f>
        <v>15004</v>
      </c>
      <c r="I16" s="17">
        <f>(H16-C16)/C16*100</f>
        <v>69.00202748366749</v>
      </c>
      <c r="K16" s="29" t="s">
        <v>49</v>
      </c>
      <c r="L16" s="49">
        <f>(5355375+5346913+5343168+5339163)</f>
        <v>21384619</v>
      </c>
      <c r="M16" s="31">
        <f>C16/L16*100000</f>
        <v>41.515820319267782</v>
      </c>
      <c r="N16" s="31">
        <f>H16/L16*100000</f>
        <v>70.162578066038961</v>
      </c>
      <c r="O16" s="31">
        <f>(N16-M16)/M16*100</f>
        <v>69.002027483667518</v>
      </c>
    </row>
    <row r="17" spans="2:15" x14ac:dyDescent="0.25">
      <c r="B17" s="29" t="s">
        <v>50</v>
      </c>
      <c r="C17" s="3">
        <v>2063</v>
      </c>
      <c r="D17" s="3">
        <v>1786</v>
      </c>
      <c r="E17" s="3">
        <v>282</v>
      </c>
      <c r="F17" s="3">
        <v>4131</v>
      </c>
      <c r="H17">
        <f>SUM(C17:D17)</f>
        <v>3849</v>
      </c>
      <c r="I17" s="17">
        <f>(H17-C17)/C17*100</f>
        <v>86.572952011633546</v>
      </c>
      <c r="K17" s="29" t="s">
        <v>50</v>
      </c>
      <c r="L17" s="50">
        <f>(1673570+1689812+1700311+1707048)</f>
        <v>6770741</v>
      </c>
      <c r="M17" s="31">
        <f t="shared" ref="M17:M23" si="9">C17/L17*100000</f>
        <v>30.469338584949568</v>
      </c>
      <c r="N17" s="31">
        <f t="shared" ref="N17:N23" si="10">H17/L17*100000</f>
        <v>56.84754445636009</v>
      </c>
      <c r="O17" s="31">
        <f t="shared" ref="O17:O23" si="11">(N17-M17)/M17*100</f>
        <v>86.572952011633504</v>
      </c>
    </row>
    <row r="18" spans="2:15" x14ac:dyDescent="0.25">
      <c r="B18" s="29" t="s">
        <v>51</v>
      </c>
      <c r="C18" s="3">
        <v>180</v>
      </c>
      <c r="D18" s="3">
        <v>146</v>
      </c>
      <c r="E18" s="3">
        <v>18</v>
      </c>
      <c r="F18" s="3">
        <v>344</v>
      </c>
      <c r="H18">
        <f>SUM(C18:D18)</f>
        <v>326</v>
      </c>
      <c r="I18" s="17">
        <f>(H18-C18)/C18*100</f>
        <v>81.111111111111114</v>
      </c>
      <c r="K18" s="29" t="s">
        <v>51</v>
      </c>
      <c r="L18" s="50">
        <f>(766004+795323+820874+834422)</f>
        <v>3216623</v>
      </c>
      <c r="M18" s="31">
        <f t="shared" si="9"/>
        <v>5.595930887766456</v>
      </c>
      <c r="N18" s="31">
        <f t="shared" si="10"/>
        <v>10.134852607843692</v>
      </c>
      <c r="O18" s="31">
        <f t="shared" si="11"/>
        <v>81.111111111111114</v>
      </c>
    </row>
    <row r="19" spans="2:15" x14ac:dyDescent="0.25">
      <c r="B19" s="29" t="s">
        <v>54</v>
      </c>
      <c r="C19" s="3"/>
      <c r="D19" s="3"/>
      <c r="E19" s="3"/>
      <c r="F19" s="3"/>
      <c r="H19">
        <f t="shared" ref="H19:H20" si="12">SUM(C19:D19)</f>
        <v>0</v>
      </c>
      <c r="I19" s="17" t="e">
        <f t="shared" ref="I19:I20" si="13">(H19-C19)/C19*100</f>
        <v>#DIV/0!</v>
      </c>
      <c r="K19" s="29" t="s">
        <v>54</v>
      </c>
      <c r="L19" s="50"/>
      <c r="M19" s="31" t="e">
        <f t="shared" si="9"/>
        <v>#DIV/0!</v>
      </c>
      <c r="N19" s="31" t="e">
        <f t="shared" si="10"/>
        <v>#DIV/0!</v>
      </c>
      <c r="O19" s="31" t="e">
        <f t="shared" si="11"/>
        <v>#DIV/0!</v>
      </c>
    </row>
    <row r="20" spans="2:15" x14ac:dyDescent="0.25">
      <c r="B20" s="29" t="s">
        <v>55</v>
      </c>
      <c r="C20" s="3"/>
      <c r="D20" s="3"/>
      <c r="E20" s="3"/>
      <c r="F20" s="3"/>
      <c r="H20">
        <f t="shared" si="12"/>
        <v>0</v>
      </c>
      <c r="I20" s="17" t="e">
        <f t="shared" si="13"/>
        <v>#DIV/0!</v>
      </c>
      <c r="K20" s="29" t="s">
        <v>55</v>
      </c>
      <c r="L20" s="50"/>
      <c r="M20" s="31" t="e">
        <f t="shared" si="9"/>
        <v>#DIV/0!</v>
      </c>
      <c r="N20" s="31" t="e">
        <f t="shared" si="10"/>
        <v>#DIV/0!</v>
      </c>
      <c r="O20" s="31" t="e">
        <f t="shared" si="11"/>
        <v>#DIV/0!</v>
      </c>
    </row>
    <row r="21" spans="2:15" x14ac:dyDescent="0.25">
      <c r="B21" s="29" t="s">
        <v>52</v>
      </c>
      <c r="C21" s="3">
        <v>334</v>
      </c>
      <c r="D21" s="3">
        <v>178</v>
      </c>
      <c r="E21" s="3">
        <v>32</v>
      </c>
      <c r="F21" s="3">
        <v>544</v>
      </c>
      <c r="H21">
        <f>SUM(C21:D21)</f>
        <v>512</v>
      </c>
      <c r="I21" s="17">
        <f>(H21-C21)/C21*100</f>
        <v>53.293413173652695</v>
      </c>
      <c r="K21" s="29" t="s">
        <v>52</v>
      </c>
      <c r="L21" s="50"/>
      <c r="M21" s="31"/>
      <c r="N21" s="31"/>
      <c r="O21" s="31"/>
    </row>
    <row r="22" spans="2:15" x14ac:dyDescent="0.25">
      <c r="B22" s="29" t="s">
        <v>53</v>
      </c>
      <c r="C22" s="3">
        <v>812</v>
      </c>
      <c r="D22" s="3">
        <v>610</v>
      </c>
      <c r="E22" s="3">
        <v>85</v>
      </c>
      <c r="F22" s="3">
        <v>1507</v>
      </c>
      <c r="H22">
        <f>SUM(C22:D22)</f>
        <v>1422</v>
      </c>
      <c r="I22" s="17">
        <f>(H22-C22)/C22*100</f>
        <v>75.123152709359601</v>
      </c>
      <c r="K22" s="29" t="s">
        <v>53</v>
      </c>
      <c r="L22" s="50"/>
      <c r="M22" s="31"/>
      <c r="N22" s="31"/>
      <c r="O22" s="31"/>
    </row>
    <row r="23" spans="2:15" ht="15.75" thickBot="1" x14ac:dyDescent="0.3">
      <c r="B23" s="29" t="s">
        <v>3</v>
      </c>
      <c r="C23" s="3">
        <v>12267</v>
      </c>
      <c r="D23" s="3">
        <v>8846</v>
      </c>
      <c r="E23" s="3">
        <v>1375</v>
      </c>
      <c r="F23" s="3">
        <v>22488</v>
      </c>
      <c r="H23">
        <f t="shared" ref="H23" si="14">SUM(C23:D23)</f>
        <v>21113</v>
      </c>
      <c r="I23" s="17">
        <f t="shared" ref="I23" si="15">(H23-C23)/C23*100</f>
        <v>72.112170864922149</v>
      </c>
      <c r="K23" s="19" t="s">
        <v>3</v>
      </c>
      <c r="L23" s="51">
        <f>SUM(L16:L22)</f>
        <v>31371983</v>
      </c>
      <c r="M23" s="31">
        <f t="shared" si="9"/>
        <v>39.10176796920998</v>
      </c>
      <c r="N23" s="31">
        <f t="shared" si="10"/>
        <v>67.298901698372077</v>
      </c>
      <c r="O23" s="31">
        <f t="shared" si="11"/>
        <v>72.112170864922149</v>
      </c>
    </row>
    <row r="25" spans="2:15" x14ac:dyDescent="0.25">
      <c r="B25" s="37" t="s">
        <v>56</v>
      </c>
      <c r="C25" s="35" t="s">
        <v>1</v>
      </c>
      <c r="D25" s="35"/>
      <c r="E25" s="35"/>
      <c r="F25" s="35"/>
    </row>
    <row r="26" spans="2:15" x14ac:dyDescent="0.25">
      <c r="B26" s="37"/>
      <c r="C26" s="18" t="s">
        <v>4</v>
      </c>
      <c r="D26" s="18" t="s">
        <v>5</v>
      </c>
      <c r="E26" s="18" t="s">
        <v>6</v>
      </c>
      <c r="F26" s="18" t="s">
        <v>3</v>
      </c>
      <c r="H26" s="16" t="s">
        <v>12</v>
      </c>
      <c r="I26" s="16" t="s">
        <v>11</v>
      </c>
    </row>
    <row r="27" spans="2:15" x14ac:dyDescent="0.25">
      <c r="B27" s="29" t="s">
        <v>57</v>
      </c>
      <c r="C27" s="42">
        <v>714</v>
      </c>
      <c r="D27" s="42">
        <v>2925</v>
      </c>
      <c r="E27" s="42">
        <v>264</v>
      </c>
      <c r="F27" s="3">
        <v>3903</v>
      </c>
      <c r="H27">
        <f>SUM(C27:D27)</f>
        <v>3639</v>
      </c>
      <c r="I27" s="17">
        <f>(H27-C27)/C27*100</f>
        <v>409.66386554621846</v>
      </c>
    </row>
    <row r="28" spans="2:15" x14ac:dyDescent="0.25">
      <c r="B28" s="29" t="s">
        <v>58</v>
      </c>
      <c r="C28" s="3">
        <v>10838</v>
      </c>
      <c r="D28" s="3">
        <v>4532</v>
      </c>
      <c r="E28" s="3">
        <v>889</v>
      </c>
      <c r="F28" s="3">
        <v>16259</v>
      </c>
      <c r="H28">
        <f>SUM(C28:D28)</f>
        <v>15370</v>
      </c>
      <c r="I28" s="17">
        <f>(H28-C28)/C28*100</f>
        <v>41.815833179553422</v>
      </c>
    </row>
    <row r="29" spans="2:15" x14ac:dyDescent="0.25">
      <c r="B29" s="29" t="s">
        <v>59</v>
      </c>
      <c r="C29" s="3">
        <v>1129</v>
      </c>
      <c r="D29" s="3">
        <v>644</v>
      </c>
      <c r="E29" s="3">
        <v>84</v>
      </c>
      <c r="F29" s="3">
        <v>1857</v>
      </c>
      <c r="H29">
        <f>SUM(C29:D29)</f>
        <v>1773</v>
      </c>
      <c r="I29" s="17">
        <f>(H29-C29)/C29*100</f>
        <v>57.041629760850313</v>
      </c>
    </row>
    <row r="30" spans="2:15" x14ac:dyDescent="0.25">
      <c r="B30" s="29" t="s">
        <v>60</v>
      </c>
      <c r="C30" s="3">
        <v>797</v>
      </c>
      <c r="D30" s="3">
        <v>1085</v>
      </c>
      <c r="E30" s="3">
        <v>214</v>
      </c>
      <c r="F30" s="3">
        <v>2096</v>
      </c>
      <c r="H30">
        <f>SUM(C30:D30)</f>
        <v>1882</v>
      </c>
      <c r="I30" s="17">
        <f>(H30-C30)/C30*100</f>
        <v>136.13550815558344</v>
      </c>
    </row>
    <row r="31" spans="2:15" x14ac:dyDescent="0.25">
      <c r="B31" s="29" t="s">
        <v>61</v>
      </c>
      <c r="C31" s="3">
        <v>221</v>
      </c>
      <c r="D31" s="3">
        <v>334</v>
      </c>
      <c r="E31" s="3">
        <v>0</v>
      </c>
      <c r="F31" s="3">
        <v>555</v>
      </c>
      <c r="H31">
        <f t="shared" ref="H31" si="16">SUM(C31:D31)</f>
        <v>555</v>
      </c>
      <c r="I31" s="17">
        <f t="shared" ref="I31" si="17">(H31-C31)/C31*100</f>
        <v>151.13122171945702</v>
      </c>
    </row>
  </sheetData>
  <mergeCells count="6">
    <mergeCell ref="B3:B4"/>
    <mergeCell ref="C3:F3"/>
    <mergeCell ref="B14:B15"/>
    <mergeCell ref="C14:F14"/>
    <mergeCell ref="B25:B26"/>
    <mergeCell ref="C25:F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2"/>
  <sheetViews>
    <sheetView workbookViewId="0">
      <selection activeCell="G8" sqref="G8"/>
    </sheetView>
  </sheetViews>
  <sheetFormatPr defaultRowHeight="15" x14ac:dyDescent="0.25"/>
  <cols>
    <col min="2" max="2" width="38.7109375" bestFit="1" customWidth="1"/>
    <col min="8" max="8" width="12.85546875" bestFit="1" customWidth="1"/>
    <col min="9" max="9" width="21.7109375" bestFit="1" customWidth="1"/>
  </cols>
  <sheetData>
    <row r="2" spans="2:9" x14ac:dyDescent="0.25">
      <c r="C2" s="35" t="s">
        <v>1</v>
      </c>
      <c r="D2" s="35"/>
      <c r="E2" s="35"/>
      <c r="F2" s="35"/>
    </row>
    <row r="3" spans="2:9" x14ac:dyDescent="0.25">
      <c r="C3" s="18" t="s">
        <v>4</v>
      </c>
      <c r="D3" s="18" t="s">
        <v>5</v>
      </c>
      <c r="E3" s="18" t="s">
        <v>6</v>
      </c>
      <c r="F3" s="18" t="s">
        <v>3</v>
      </c>
      <c r="H3" s="16" t="s">
        <v>12</v>
      </c>
      <c r="I3" s="16" t="s">
        <v>11</v>
      </c>
    </row>
    <row r="4" spans="2:9" ht="30" x14ac:dyDescent="0.25">
      <c r="B4" s="18" t="s">
        <v>29</v>
      </c>
      <c r="C4" s="3">
        <v>11154</v>
      </c>
      <c r="D4" s="3">
        <v>8574</v>
      </c>
      <c r="E4" s="3">
        <v>1341</v>
      </c>
      <c r="F4" s="3">
        <v>21069</v>
      </c>
      <c r="H4">
        <f>SUM(C4:D4)</f>
        <v>19728</v>
      </c>
      <c r="I4" s="17">
        <f>(H4-C4)/C4*100</f>
        <v>76.869284561592252</v>
      </c>
    </row>
    <row r="5" spans="2:9" x14ac:dyDescent="0.25">
      <c r="B5" s="18" t="s">
        <v>30</v>
      </c>
      <c r="C5" s="3">
        <v>1368</v>
      </c>
      <c r="D5" s="3">
        <v>2132</v>
      </c>
      <c r="E5" s="3">
        <v>415</v>
      </c>
      <c r="F5" s="3">
        <v>3915</v>
      </c>
      <c r="H5">
        <f>SUM(C5:D5)</f>
        <v>3500</v>
      </c>
      <c r="I5" s="17">
        <f t="shared" ref="I5:I8" si="0">(H5-C5)/C5*100</f>
        <v>155.84795321637429</v>
      </c>
    </row>
    <row r="6" spans="2:9" x14ac:dyDescent="0.25">
      <c r="B6" s="18" t="s">
        <v>31</v>
      </c>
      <c r="C6" s="3">
        <v>2724</v>
      </c>
      <c r="D6" s="3">
        <v>2174</v>
      </c>
      <c r="E6" s="3">
        <v>554</v>
      </c>
      <c r="F6" s="3">
        <v>5452</v>
      </c>
      <c r="H6">
        <f t="shared" ref="H6:H8" si="1">SUM(C6:D6)</f>
        <v>4898</v>
      </c>
      <c r="I6" s="17">
        <f t="shared" si="0"/>
        <v>79.809104258443469</v>
      </c>
    </row>
    <row r="7" spans="2:9" x14ac:dyDescent="0.25">
      <c r="B7" s="18" t="s">
        <v>32</v>
      </c>
      <c r="C7" s="3">
        <v>6001</v>
      </c>
      <c r="D7" s="3">
        <v>4528</v>
      </c>
      <c r="E7" s="3">
        <v>633</v>
      </c>
      <c r="F7" s="3">
        <v>11162</v>
      </c>
      <c r="H7">
        <f t="shared" si="1"/>
        <v>10529</v>
      </c>
      <c r="I7" s="17">
        <f t="shared" si="0"/>
        <v>75.454090984835858</v>
      </c>
    </row>
    <row r="8" spans="2:9" x14ac:dyDescent="0.25">
      <c r="B8" s="18" t="s">
        <v>33</v>
      </c>
      <c r="C8" s="3">
        <v>2943</v>
      </c>
      <c r="D8" s="3">
        <v>2156</v>
      </c>
      <c r="E8" s="3">
        <v>263</v>
      </c>
      <c r="F8" s="3">
        <v>5362</v>
      </c>
      <c r="H8">
        <f t="shared" si="1"/>
        <v>5099</v>
      </c>
      <c r="I8" s="17">
        <f t="shared" si="0"/>
        <v>73.258579680598018</v>
      </c>
    </row>
    <row r="9" spans="2:9" x14ac:dyDescent="0.25">
      <c r="B9" s="18"/>
      <c r="I9" s="17"/>
    </row>
    <row r="12" spans="2:9" x14ac:dyDescent="0.25">
      <c r="B12" s="20" t="s">
        <v>35</v>
      </c>
    </row>
    <row r="13" spans="2:9" x14ac:dyDescent="0.25">
      <c r="B13" s="21"/>
    </row>
    <row r="14" spans="2:9" x14ac:dyDescent="0.25">
      <c r="B14" s="22" t="s">
        <v>36</v>
      </c>
    </row>
    <row r="15" spans="2:9" ht="15.75" thickBot="1" x14ac:dyDescent="0.3">
      <c r="B15" s="23"/>
    </row>
    <row r="16" spans="2:9" ht="30" x14ac:dyDescent="0.25">
      <c r="B16" s="38" t="s">
        <v>37</v>
      </c>
      <c r="C16" s="40" t="s">
        <v>38</v>
      </c>
      <c r="D16" s="40" t="s">
        <v>39</v>
      </c>
      <c r="E16" s="26" t="s">
        <v>40</v>
      </c>
      <c r="F16" s="26" t="s">
        <v>40</v>
      </c>
    </row>
    <row r="17" spans="2:6" ht="30" x14ac:dyDescent="0.25">
      <c r="B17" s="39"/>
      <c r="C17" s="41"/>
      <c r="D17" s="41"/>
      <c r="E17" s="24" t="s">
        <v>38</v>
      </c>
      <c r="F17" s="24" t="s">
        <v>39</v>
      </c>
    </row>
    <row r="18" spans="2:6" ht="30" x14ac:dyDescent="0.25">
      <c r="B18" s="27" t="s">
        <v>29</v>
      </c>
      <c r="C18" s="25">
        <v>7391</v>
      </c>
      <c r="D18" s="25">
        <v>83.55</v>
      </c>
      <c r="E18" s="25">
        <v>7391</v>
      </c>
      <c r="F18" s="25">
        <v>83.55</v>
      </c>
    </row>
    <row r="19" spans="2:6" x14ac:dyDescent="0.25">
      <c r="B19" s="27" t="s">
        <v>34</v>
      </c>
      <c r="C19" s="25">
        <v>801</v>
      </c>
      <c r="D19" s="25">
        <v>9.0500000000000007</v>
      </c>
      <c r="E19" s="25">
        <v>8192</v>
      </c>
      <c r="F19" s="25">
        <v>92.61</v>
      </c>
    </row>
    <row r="20" spans="2:6" x14ac:dyDescent="0.25">
      <c r="B20" s="27" t="s">
        <v>33</v>
      </c>
      <c r="C20" s="25">
        <v>437</v>
      </c>
      <c r="D20" s="25">
        <v>4.9400000000000004</v>
      </c>
      <c r="E20" s="25">
        <v>8629</v>
      </c>
      <c r="F20" s="25">
        <v>97.55</v>
      </c>
    </row>
    <row r="21" spans="2:6" x14ac:dyDescent="0.25">
      <c r="B21" s="27" t="s">
        <v>32</v>
      </c>
      <c r="C21" s="25">
        <v>207</v>
      </c>
      <c r="D21" s="25">
        <v>2.34</v>
      </c>
      <c r="E21" s="25">
        <v>8836</v>
      </c>
      <c r="F21" s="25">
        <v>99.89</v>
      </c>
    </row>
    <row r="22" spans="2:6" x14ac:dyDescent="0.25">
      <c r="B22" s="27" t="s">
        <v>30</v>
      </c>
      <c r="C22" s="25">
        <v>10</v>
      </c>
      <c r="D22" s="25">
        <v>0.11</v>
      </c>
      <c r="E22" s="25">
        <v>8846</v>
      </c>
      <c r="F22" s="25">
        <v>100</v>
      </c>
    </row>
  </sheetData>
  <mergeCells count="4">
    <mergeCell ref="C2:F2"/>
    <mergeCell ref="B16:B17"/>
    <mergeCell ref="C16:C17"/>
    <mergeCell ref="D16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Additional Comparison</vt:lpstr>
      <vt:lpstr>Comorbidity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Geary, Shana M</dc:creator>
  <cp:lastModifiedBy>Lauren Yerkes</cp:lastModifiedBy>
  <dcterms:created xsi:type="dcterms:W3CDTF">2021-05-20T13:49:18Z</dcterms:created>
  <dcterms:modified xsi:type="dcterms:W3CDTF">2021-08-02T20:18:42Z</dcterms:modified>
</cp:coreProperties>
</file>